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O:\Управление по связям с инвесторами\_______REPORTING\Sustainability Report\2025\_на сайт\"/>
    </mc:Choice>
  </mc:AlternateContent>
  <bookViews>
    <workbookView xWindow="0" yWindow="600" windowWidth="28800" windowHeight="16260" tabRatio="875"/>
  </bookViews>
  <sheets>
    <sheet name="Contents" sheetId="7" r:id="rId1"/>
    <sheet name="Climate" sheetId="25" r:id="rId2"/>
    <sheet name="Environment" sheetId="26" r:id="rId3"/>
    <sheet name="Personnel" sheetId="27" r:id="rId4"/>
    <sheet name="Occupational health and safety" sheetId="28" r:id="rId5"/>
    <sheet name="Local communities" sheetId="31" r:id="rId6"/>
    <sheet name="Corporate governance" sheetId="32" r:id="rId7"/>
    <sheet name="СОКБ" sheetId="33" r:id="rId8"/>
    <sheet name="Таксономия Банка России" sheetId="35" r:id="rId9"/>
    <sheet name="Corporate documents" sheetId="24" r:id="rId10"/>
  </sheets>
  <externalReferences>
    <externalReference r:id="rId11"/>
  </externalReferences>
  <definedNames>
    <definedName name="_ftn1" localSheetId="1">Climate!$O$95</definedName>
    <definedName name="_ftnref1" localSheetId="1">Climate!$O$92</definedName>
    <definedName name="_Hlk220355198" localSheetId="3">Personnel!$O$313</definedName>
    <definedName name="_Hlk222494672" localSheetId="1">Climate!$O$110</definedName>
    <definedName name="_Ref221003855" localSheetId="3">Personnel!$O$345</definedName>
    <definedName name="_Ref221003990" localSheetId="3">Personnel!$O$341</definedName>
    <definedName name="_xlnm._FilterDatabase" localSheetId="1" hidden="1">Climate!$Q$7:$U$7</definedName>
    <definedName name="_xlnm._FilterDatabase" localSheetId="7" hidden="1">СОКБ!$I$7:$I$7</definedName>
    <definedName name="_xlnm._FilterDatabase" localSheetId="8" hidden="1">'Таксономия Банка России'!$B$7:$IG$40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5" l="1"/>
  <c r="B6" i="25"/>
  <c r="B340" i="33" l="1"/>
  <c r="B195" i="33"/>
  <c r="B287" i="33"/>
  <c r="R7" i="31" l="1"/>
  <c r="R7" i="28"/>
  <c r="R7" i="25"/>
  <c r="R7" i="26"/>
  <c r="R7" i="27"/>
  <c r="B278" i="33" l="1"/>
  <c r="B277" i="33"/>
  <c r="B276" i="33"/>
  <c r="B262" i="33"/>
  <c r="C82" i="33"/>
  <c r="C81" i="33"/>
  <c r="C80" i="33"/>
  <c r="B263" i="33"/>
  <c r="C80" i="35"/>
  <c r="C61" i="35"/>
  <c r="C62" i="35"/>
  <c r="B142" i="33"/>
  <c r="B80" i="28"/>
  <c r="B79" i="28"/>
  <c r="B80" i="35"/>
  <c r="B79" i="35"/>
  <c r="I100" i="33" l="1"/>
  <c r="B100" i="33"/>
  <c r="B128" i="35"/>
  <c r="B360" i="33"/>
  <c r="P69" i="32"/>
  <c r="P67" i="32"/>
  <c r="P66" i="32"/>
  <c r="P65" i="32"/>
  <c r="P64" i="32"/>
  <c r="P62" i="32"/>
  <c r="P59" i="32"/>
  <c r="P44" i="32"/>
  <c r="P40" i="32"/>
  <c r="P36" i="32"/>
  <c r="P32" i="32"/>
  <c r="P28" i="32"/>
  <c r="P21" i="32"/>
  <c r="P20" i="32"/>
  <c r="P14" i="32"/>
  <c r="P13" i="32"/>
  <c r="P12" i="32"/>
  <c r="P10" i="32"/>
  <c r="P7" i="32"/>
  <c r="P36" i="31"/>
  <c r="P35" i="31"/>
  <c r="P33" i="31"/>
  <c r="P32" i="31"/>
  <c r="P31" i="31"/>
  <c r="P30" i="31"/>
  <c r="P29" i="31"/>
  <c r="P28" i="31"/>
  <c r="P26" i="31"/>
  <c r="P8" i="31"/>
  <c r="P7" i="31"/>
  <c r="P77" i="28"/>
  <c r="P76" i="28"/>
  <c r="P75" i="28"/>
  <c r="P74" i="28"/>
  <c r="P67" i="28"/>
  <c r="P64" i="28"/>
  <c r="P63" i="28"/>
  <c r="P62" i="28"/>
  <c r="P61" i="28"/>
  <c r="P55" i="28"/>
  <c r="P54" i="28"/>
  <c r="P53" i="28"/>
  <c r="P52" i="28"/>
  <c r="P51" i="28"/>
  <c r="P50" i="28"/>
  <c r="P49" i="28"/>
  <c r="P38" i="28"/>
  <c r="P37" i="28"/>
  <c r="P36" i="28"/>
  <c r="P35" i="28"/>
  <c r="P34" i="28"/>
  <c r="P20" i="28"/>
  <c r="P19" i="28"/>
  <c r="P18" i="28"/>
  <c r="P17" i="28"/>
  <c r="P16" i="28"/>
  <c r="P14" i="28"/>
  <c r="P13" i="28"/>
  <c r="P12" i="28"/>
  <c r="P11" i="28"/>
  <c r="P7" i="28"/>
  <c r="P401" i="27"/>
  <c r="P400" i="27"/>
  <c r="P399" i="27"/>
  <c r="P388" i="27"/>
  <c r="P387" i="27"/>
  <c r="P386" i="27"/>
  <c r="P384" i="27"/>
  <c r="P383" i="27"/>
  <c r="P381" i="27"/>
  <c r="P376" i="27"/>
  <c r="P372" i="27"/>
  <c r="P356" i="27"/>
  <c r="P355" i="27"/>
  <c r="P354" i="27"/>
  <c r="P353" i="27"/>
  <c r="P352" i="27"/>
  <c r="P351" i="27"/>
  <c r="P350" i="27"/>
  <c r="P349" i="27"/>
  <c r="P348" i="27"/>
  <c r="P347" i="27"/>
  <c r="P346" i="27"/>
  <c r="P345" i="27"/>
  <c r="P343" i="27"/>
  <c r="P338" i="27"/>
  <c r="P337" i="27"/>
  <c r="P336" i="27"/>
  <c r="P335" i="27"/>
  <c r="P334" i="27"/>
  <c r="P333" i="27"/>
  <c r="P332" i="27"/>
  <c r="P319" i="27"/>
  <c r="P318" i="27"/>
  <c r="P317" i="27"/>
  <c r="P311" i="27"/>
  <c r="P306" i="27"/>
  <c r="P305" i="27"/>
  <c r="P304" i="27"/>
  <c r="P303" i="27"/>
  <c r="P302" i="27"/>
  <c r="P301" i="27"/>
  <c r="P300" i="27"/>
  <c r="P299" i="27"/>
  <c r="P298" i="27"/>
  <c r="P297" i="27"/>
  <c r="P296" i="27"/>
  <c r="P295" i="27"/>
  <c r="P294" i="27"/>
  <c r="P293" i="27"/>
  <c r="P292" i="27"/>
  <c r="P291" i="27"/>
  <c r="P290" i="27"/>
  <c r="P289" i="27"/>
  <c r="P288" i="27"/>
  <c r="P287" i="27"/>
  <c r="P286" i="27"/>
  <c r="P285" i="27"/>
  <c r="P284" i="27"/>
  <c r="P283" i="27"/>
  <c r="P282" i="27"/>
  <c r="P281" i="27"/>
  <c r="P280" i="27"/>
  <c r="P279" i="27"/>
  <c r="P278" i="27"/>
  <c r="P277" i="27"/>
  <c r="P276" i="27"/>
  <c r="P274" i="27"/>
  <c r="P273" i="27"/>
  <c r="P272" i="27"/>
  <c r="P270" i="27"/>
  <c r="P269" i="27"/>
  <c r="P267" i="27"/>
  <c r="P262" i="27"/>
  <c r="P261" i="27"/>
  <c r="P260" i="27"/>
  <c r="P259" i="27"/>
  <c r="P258" i="27"/>
  <c r="P257" i="27"/>
  <c r="P256" i="27"/>
  <c r="P255" i="27"/>
  <c r="P254" i="27"/>
  <c r="P253" i="27"/>
  <c r="P252" i="27"/>
  <c r="P251" i="27"/>
  <c r="P250" i="27"/>
  <c r="P249" i="27"/>
  <c r="P248" i="27"/>
  <c r="P247" i="27"/>
  <c r="P246" i="27"/>
  <c r="P245" i="27"/>
  <c r="P244" i="27"/>
  <c r="P243" i="27"/>
  <c r="P242" i="27"/>
  <c r="P241" i="27"/>
  <c r="P240" i="27"/>
  <c r="P239" i="27"/>
  <c r="P238" i="27"/>
  <c r="P236" i="27"/>
  <c r="P235" i="27"/>
  <c r="P234" i="27"/>
  <c r="P233" i="27"/>
  <c r="P230" i="27"/>
  <c r="P229" i="27"/>
  <c r="P227" i="27"/>
  <c r="P220" i="27"/>
  <c r="P219" i="27"/>
  <c r="P218" i="27"/>
  <c r="P217" i="27"/>
  <c r="P216" i="27"/>
  <c r="P215" i="27"/>
  <c r="P206" i="27"/>
  <c r="P205" i="27"/>
  <c r="P204" i="27"/>
  <c r="P202" i="27"/>
  <c r="P201" i="27"/>
  <c r="P200" i="27"/>
  <c r="P195" i="27"/>
  <c r="P194" i="27"/>
  <c r="P193" i="27"/>
  <c r="P191" i="27"/>
  <c r="P190" i="27"/>
  <c r="P189" i="27"/>
  <c r="P186" i="27"/>
  <c r="P185" i="27"/>
  <c r="P184" i="27"/>
  <c r="P183" i="27"/>
  <c r="P182" i="27"/>
  <c r="P181" i="27"/>
  <c r="P180" i="27"/>
  <c r="P179" i="27"/>
  <c r="P178" i="27"/>
  <c r="P177" i="27"/>
  <c r="P176" i="27"/>
  <c r="P175" i="27"/>
  <c r="P174" i="27"/>
  <c r="P173" i="27"/>
  <c r="P172" i="27"/>
  <c r="P171" i="27"/>
  <c r="P170" i="27"/>
  <c r="P169" i="27"/>
  <c r="P168" i="27"/>
  <c r="P167" i="27"/>
  <c r="P166" i="27"/>
  <c r="P165" i="27"/>
  <c r="P164" i="27"/>
  <c r="P163" i="27"/>
  <c r="P162" i="27"/>
  <c r="P161" i="27"/>
  <c r="P160" i="27"/>
  <c r="P159" i="27"/>
  <c r="P158" i="27"/>
  <c r="P157" i="27"/>
  <c r="P156" i="27"/>
  <c r="P155" i="27"/>
  <c r="P153" i="27"/>
  <c r="P152" i="27"/>
  <c r="P150" i="27"/>
  <c r="P148" i="27"/>
  <c r="P147" i="27"/>
  <c r="P146" i="27"/>
  <c r="P145" i="27"/>
  <c r="P144" i="27"/>
  <c r="P143" i="27"/>
  <c r="P142" i="27"/>
  <c r="P141" i="27"/>
  <c r="P140" i="27"/>
  <c r="P139" i="27"/>
  <c r="P138" i="27"/>
  <c r="P137" i="27"/>
  <c r="P136" i="27"/>
  <c r="P135" i="27"/>
  <c r="P134" i="27"/>
  <c r="P133" i="27"/>
  <c r="P132" i="27"/>
  <c r="P131" i="27"/>
  <c r="P130" i="27"/>
  <c r="P129" i="27"/>
  <c r="P128" i="27"/>
  <c r="P127" i="27"/>
  <c r="P126" i="27"/>
  <c r="P125" i="27"/>
  <c r="P124" i="27"/>
  <c r="P123" i="27"/>
  <c r="P122" i="27"/>
  <c r="P121" i="27"/>
  <c r="P120" i="27"/>
  <c r="P119" i="27"/>
  <c r="P118" i="27"/>
  <c r="P117" i="27"/>
  <c r="P115" i="27"/>
  <c r="P114" i="27"/>
  <c r="P112" i="27"/>
  <c r="P68" i="27"/>
  <c r="P67" i="27"/>
  <c r="P66" i="27"/>
  <c r="P65" i="27"/>
  <c r="P64" i="27"/>
  <c r="P63" i="27"/>
  <c r="P61" i="27"/>
  <c r="P60" i="27"/>
  <c r="P59" i="27"/>
  <c r="P58" i="27"/>
  <c r="P57" i="27"/>
  <c r="P56" i="27"/>
  <c r="P55" i="27"/>
  <c r="P54" i="27"/>
  <c r="P53" i="27"/>
  <c r="P52" i="27"/>
  <c r="P51" i="27"/>
  <c r="P50" i="27"/>
  <c r="P49" i="27"/>
  <c r="P48" i="27"/>
  <c r="P47" i="27"/>
  <c r="P46" i="27"/>
  <c r="P45" i="27"/>
  <c r="P44" i="27"/>
  <c r="P43" i="27"/>
  <c r="P42" i="27"/>
  <c r="P41" i="27"/>
  <c r="P40" i="27"/>
  <c r="P39" i="27"/>
  <c r="P38" i="27"/>
  <c r="P37" i="27"/>
  <c r="P36" i="27"/>
  <c r="P35" i="27"/>
  <c r="P34" i="27"/>
  <c r="P33" i="27"/>
  <c r="P32" i="27"/>
  <c r="P31" i="27"/>
  <c r="P30" i="27"/>
  <c r="P28" i="27"/>
  <c r="P27" i="27"/>
  <c r="P26" i="27"/>
  <c r="P25" i="27"/>
  <c r="P24" i="27"/>
  <c r="P23" i="27"/>
  <c r="P21" i="27"/>
  <c r="P20" i="27"/>
  <c r="P19" i="27"/>
  <c r="P18" i="27"/>
  <c r="P17" i="27"/>
  <c r="P16" i="27"/>
  <c r="P14" i="27"/>
  <c r="P13" i="27"/>
  <c r="P12" i="27"/>
  <c r="P11" i="27"/>
  <c r="P9" i="27"/>
  <c r="P7" i="27"/>
  <c r="P242" i="26"/>
  <c r="P241" i="26"/>
  <c r="P240" i="26"/>
  <c r="P236" i="26"/>
  <c r="P233" i="26"/>
  <c r="P232" i="26"/>
  <c r="P231" i="26"/>
  <c r="P228" i="26"/>
  <c r="P225" i="26"/>
  <c r="P224" i="26"/>
  <c r="P223" i="26"/>
  <c r="P222" i="26"/>
  <c r="P220" i="26"/>
  <c r="P219" i="26"/>
  <c r="P217" i="26"/>
  <c r="P214" i="26"/>
  <c r="P212" i="26"/>
  <c r="P211" i="26"/>
  <c r="P210" i="26"/>
  <c r="P209" i="26"/>
  <c r="P207" i="26"/>
  <c r="P206" i="26"/>
  <c r="P205" i="26"/>
  <c r="P204" i="26"/>
  <c r="P203" i="26"/>
  <c r="P202" i="26"/>
  <c r="P200" i="26"/>
  <c r="P199" i="26"/>
  <c r="P197" i="26"/>
  <c r="P184" i="26"/>
  <c r="P182" i="26"/>
  <c r="P180" i="26"/>
  <c r="P179" i="26"/>
  <c r="P178" i="26"/>
  <c r="P177" i="26"/>
  <c r="P175" i="26"/>
  <c r="P174" i="26"/>
  <c r="P173" i="26"/>
  <c r="P172" i="26"/>
  <c r="P169" i="26"/>
  <c r="P167" i="26"/>
  <c r="P159" i="26"/>
  <c r="P158" i="26"/>
  <c r="P157" i="26"/>
  <c r="P156" i="26"/>
  <c r="P155" i="26"/>
  <c r="P154" i="26"/>
  <c r="P153" i="26"/>
  <c r="P152" i="26"/>
  <c r="P151" i="26"/>
  <c r="P150" i="26"/>
  <c r="P149" i="26"/>
  <c r="P148" i="26"/>
  <c r="P147" i="26"/>
  <c r="P146" i="26"/>
  <c r="P145" i="26"/>
  <c r="P144" i="26"/>
  <c r="P143" i="26"/>
  <c r="P142" i="26"/>
  <c r="P141" i="26"/>
  <c r="P140" i="26"/>
  <c r="P139" i="26"/>
  <c r="P138" i="26"/>
  <c r="P137" i="26"/>
  <c r="P136" i="26"/>
  <c r="P135" i="26"/>
  <c r="P134" i="26"/>
  <c r="P133" i="26"/>
  <c r="P132" i="26"/>
  <c r="P131" i="26"/>
  <c r="P130" i="26"/>
  <c r="P129" i="26"/>
  <c r="P125" i="26"/>
  <c r="P117" i="26"/>
  <c r="P116" i="26"/>
  <c r="P115" i="26"/>
  <c r="P114" i="26"/>
  <c r="P113" i="26"/>
  <c r="P112" i="26"/>
  <c r="P111" i="26"/>
  <c r="P109" i="26"/>
  <c r="P91" i="26"/>
  <c r="P90" i="26"/>
  <c r="P89" i="26"/>
  <c r="P88" i="26"/>
  <c r="P87" i="26"/>
  <c r="P86" i="26"/>
  <c r="P85" i="26"/>
  <c r="P84" i="26"/>
  <c r="P83" i="26"/>
  <c r="P82" i="26"/>
  <c r="P80" i="26"/>
  <c r="P79" i="26"/>
  <c r="P71" i="26"/>
  <c r="P70" i="26"/>
  <c r="P69" i="26"/>
  <c r="P67" i="26"/>
  <c r="P61" i="26"/>
  <c r="P60" i="26"/>
  <c r="P59" i="26"/>
  <c r="P58" i="26"/>
  <c r="P57" i="26"/>
  <c r="P55" i="26"/>
  <c r="P46" i="26"/>
  <c r="P43" i="26"/>
  <c r="P42" i="26"/>
  <c r="P41" i="26"/>
  <c r="P40" i="26"/>
  <c r="P39" i="26"/>
  <c r="P38" i="26"/>
  <c r="P37" i="26"/>
  <c r="P36" i="26"/>
  <c r="P35" i="26"/>
  <c r="P33" i="26"/>
  <c r="P24" i="26"/>
  <c r="P23" i="26"/>
  <c r="P22" i="26"/>
  <c r="P21" i="26"/>
  <c r="P12" i="26"/>
  <c r="P10" i="26"/>
  <c r="P7" i="26"/>
  <c r="P199" i="25"/>
  <c r="P198" i="25"/>
  <c r="P197" i="25"/>
  <c r="P195" i="25"/>
  <c r="P190" i="25"/>
  <c r="P189" i="25"/>
  <c r="P188" i="25"/>
  <c r="P166" i="25"/>
  <c r="P165" i="25"/>
  <c r="P164" i="25"/>
  <c r="P163" i="25"/>
  <c r="P149" i="25"/>
  <c r="P148" i="25"/>
  <c r="P147" i="25"/>
  <c r="P146" i="25"/>
  <c r="P145" i="25"/>
  <c r="P144" i="25"/>
  <c r="P143" i="25"/>
  <c r="P142" i="25"/>
  <c r="P141" i="25"/>
  <c r="P140" i="25"/>
  <c r="P139" i="25"/>
  <c r="P131" i="25"/>
  <c r="P130" i="25"/>
  <c r="P129" i="25"/>
  <c r="P128" i="25"/>
  <c r="P127" i="25"/>
  <c r="P126" i="25"/>
  <c r="P125" i="25"/>
  <c r="P121" i="25"/>
  <c r="P120" i="25"/>
  <c r="P119" i="25"/>
  <c r="P118" i="25"/>
  <c r="P116" i="25"/>
  <c r="P110" i="25"/>
  <c r="P109" i="25"/>
  <c r="P103" i="25"/>
  <c r="P102" i="25"/>
  <c r="P101" i="25"/>
  <c r="P100" i="25"/>
  <c r="P99" i="25"/>
  <c r="P98" i="25"/>
  <c r="P97" i="25"/>
  <c r="P96" i="25"/>
  <c r="P95" i="25"/>
  <c r="P94" i="25"/>
  <c r="P93" i="25"/>
  <c r="P92" i="25"/>
  <c r="P90" i="25"/>
  <c r="P72" i="25"/>
  <c r="P65" i="25"/>
  <c r="P58" i="25"/>
  <c r="P56" i="25"/>
  <c r="P52" i="25"/>
  <c r="P51" i="25"/>
  <c r="P50" i="25"/>
  <c r="P47" i="25"/>
  <c r="P41" i="25"/>
  <c r="P40" i="25"/>
  <c r="P39" i="25"/>
  <c r="P37" i="25"/>
  <c r="P33" i="25"/>
  <c r="P31" i="25"/>
  <c r="P30" i="25"/>
  <c r="P29" i="25"/>
  <c r="P28" i="25"/>
  <c r="P26" i="25"/>
  <c r="P23" i="25"/>
  <c r="P22" i="25"/>
  <c r="P21" i="25"/>
  <c r="P20" i="25"/>
  <c r="P18" i="25"/>
  <c r="P17" i="25"/>
  <c r="P16" i="25"/>
  <c r="P15" i="25"/>
  <c r="P13" i="25"/>
  <c r="P12" i="25"/>
  <c r="P11" i="25"/>
  <c r="P9" i="25"/>
  <c r="P7" i="25"/>
  <c r="I206" i="33" l="1"/>
  <c r="I207" i="33"/>
  <c r="I208" i="33"/>
  <c r="I205" i="33"/>
  <c r="I116" i="33"/>
  <c r="B45" i="33"/>
  <c r="I210" i="33" l="1"/>
  <c r="B55" i="25" l="1"/>
  <c r="C208" i="33" l="1"/>
  <c r="C207" i="33"/>
  <c r="C206" i="33"/>
  <c r="C205" i="33"/>
  <c r="B208" i="33"/>
  <c r="B207" i="33"/>
  <c r="B206" i="33"/>
  <c r="B205" i="33"/>
  <c r="B365" i="27" l="1"/>
  <c r="B340" i="27"/>
  <c r="C70" i="26" l="1"/>
  <c r="C71" i="26"/>
  <c r="B28" i="35" l="1"/>
  <c r="B27" i="35" l="1"/>
  <c r="B151" i="33" l="1"/>
  <c r="B90" i="26"/>
  <c r="B359" i="27"/>
  <c r="B364" i="27" l="1"/>
  <c r="I80" i="35" l="1"/>
  <c r="U38" i="28"/>
  <c r="U80" i="28"/>
  <c r="U365" i="27"/>
  <c r="U391" i="27"/>
  <c r="U390" i="27"/>
  <c r="U381" i="27"/>
  <c r="U341" i="27"/>
  <c r="U364" i="27"/>
  <c r="B329" i="27"/>
  <c r="B244" i="26" l="1"/>
  <c r="B242" i="26"/>
  <c r="B241" i="26"/>
  <c r="B240" i="26"/>
  <c r="C240" i="26"/>
  <c r="B99" i="26" l="1"/>
  <c r="B100" i="26"/>
  <c r="B98" i="26"/>
  <c r="B97" i="26"/>
  <c r="B96" i="26"/>
  <c r="B71" i="25"/>
  <c r="C100" i="26"/>
  <c r="C98" i="26"/>
  <c r="C96" i="26"/>
  <c r="C99" i="26"/>
  <c r="C97" i="26"/>
  <c r="C95" i="26"/>
  <c r="B33" i="25" l="1"/>
  <c r="B114" i="25"/>
  <c r="B153" i="25" l="1"/>
  <c r="B132" i="25" l="1"/>
  <c r="B81" i="25" l="1"/>
  <c r="B25" i="25"/>
  <c r="C132" i="25" l="1"/>
  <c r="B14" i="31" l="1"/>
  <c r="J3" i="27" l="1"/>
  <c r="B341" i="27"/>
  <c r="B30" i="26"/>
  <c r="F348" i="33" l="1"/>
  <c r="F350" i="33"/>
  <c r="C25" i="25" l="1"/>
  <c r="C33" i="25"/>
  <c r="I199" i="33" l="1"/>
  <c r="G56" i="33" l="1"/>
  <c r="F56" i="33"/>
  <c r="E56" i="33"/>
  <c r="D56" i="33"/>
  <c r="C305" i="27" l="1"/>
  <c r="B305" i="27"/>
  <c r="B261" i="27"/>
  <c r="C185" i="27"/>
  <c r="B185" i="27"/>
  <c r="C147" i="27"/>
  <c r="B147" i="27"/>
  <c r="C60" i="27"/>
  <c r="B60" i="27"/>
  <c r="B108" i="27" l="1"/>
  <c r="C108" i="27"/>
  <c r="I123" i="35" l="1"/>
  <c r="I122" i="35"/>
  <c r="I121" i="35"/>
  <c r="I120" i="35"/>
  <c r="I119" i="35"/>
  <c r="I118" i="35"/>
  <c r="I117" i="35"/>
  <c r="I116" i="35"/>
  <c r="I115" i="35"/>
  <c r="I107" i="35"/>
  <c r="I110" i="35"/>
  <c r="I109" i="35"/>
  <c r="I108" i="35"/>
  <c r="I105" i="35"/>
  <c r="I104" i="35"/>
  <c r="I103" i="35"/>
  <c r="I102" i="35"/>
  <c r="B102" i="35"/>
  <c r="C110" i="35"/>
  <c r="B110" i="35"/>
  <c r="C109" i="35"/>
  <c r="B109" i="35"/>
  <c r="C108" i="35"/>
  <c r="B108" i="35"/>
  <c r="C107" i="35"/>
  <c r="B107" i="35"/>
  <c r="B113" i="35"/>
  <c r="B112" i="35"/>
  <c r="C105" i="35"/>
  <c r="B105" i="35"/>
  <c r="C104" i="35"/>
  <c r="B104" i="35"/>
  <c r="C103" i="35"/>
  <c r="B103" i="35"/>
  <c r="C102" i="35"/>
  <c r="B15" i="35"/>
  <c r="B14" i="35"/>
  <c r="B31" i="35"/>
  <c r="B30" i="35"/>
  <c r="I99" i="35"/>
  <c r="I98" i="35"/>
  <c r="I96" i="35"/>
  <c r="I94" i="35"/>
  <c r="I93" i="35"/>
  <c r="I92" i="35"/>
  <c r="I91" i="35"/>
  <c r="I90" i="35"/>
  <c r="I89" i="35"/>
  <c r="I87" i="35"/>
  <c r="I86" i="35"/>
  <c r="I84" i="35"/>
  <c r="I83" i="35"/>
  <c r="B91" i="35"/>
  <c r="B90" i="35"/>
  <c r="B89" i="35"/>
  <c r="B88" i="35"/>
  <c r="B87" i="35"/>
  <c r="B86" i="35"/>
  <c r="B85" i="35"/>
  <c r="I73" i="35"/>
  <c r="I72" i="35"/>
  <c r="I71" i="35"/>
  <c r="I70" i="35"/>
  <c r="I69" i="35"/>
  <c r="I68" i="35"/>
  <c r="I67" i="35"/>
  <c r="I65" i="35"/>
  <c r="I63" i="35"/>
  <c r="I60" i="35"/>
  <c r="I59" i="35"/>
  <c r="B58" i="35"/>
  <c r="I56" i="35"/>
  <c r="I55" i="35"/>
  <c r="I54" i="35"/>
  <c r="I53" i="35"/>
  <c r="I52" i="35"/>
  <c r="I50" i="35"/>
  <c r="C50" i="35"/>
  <c r="B52" i="35"/>
  <c r="C52" i="35"/>
  <c r="I49" i="35"/>
  <c r="I48" i="35"/>
  <c r="I47" i="35"/>
  <c r="I46" i="35"/>
  <c r="I45" i="35"/>
  <c r="I43" i="35"/>
  <c r="I40" i="35"/>
  <c r="I39" i="35"/>
  <c r="I38" i="35"/>
  <c r="I37" i="35"/>
  <c r="I34" i="35"/>
  <c r="I28" i="35"/>
  <c r="I27" i="35"/>
  <c r="I26" i="35"/>
  <c r="I25" i="35"/>
  <c r="I24" i="35"/>
  <c r="I23" i="35"/>
  <c r="I21" i="35"/>
  <c r="I20" i="35"/>
  <c r="I18" i="35"/>
  <c r="B36" i="35"/>
  <c r="B37" i="35"/>
  <c r="C37" i="35"/>
  <c r="I12" i="35"/>
  <c r="I11" i="35"/>
  <c r="I9" i="35"/>
  <c r="I7" i="35"/>
  <c r="B126" i="35"/>
  <c r="C123" i="35"/>
  <c r="B123" i="35"/>
  <c r="C122" i="35"/>
  <c r="B122" i="35"/>
  <c r="C121" i="35"/>
  <c r="B121" i="35"/>
  <c r="C120" i="35"/>
  <c r="B120" i="35"/>
  <c r="C119" i="35"/>
  <c r="B119" i="35"/>
  <c r="C118" i="35"/>
  <c r="B118" i="35"/>
  <c r="C117" i="35"/>
  <c r="B117" i="35"/>
  <c r="C116" i="35"/>
  <c r="B116" i="35"/>
  <c r="C115" i="35"/>
  <c r="B115" i="35"/>
  <c r="B101" i="35"/>
  <c r="C96" i="35"/>
  <c r="B96" i="35"/>
  <c r="C95" i="35"/>
  <c r="B95" i="35"/>
  <c r="C93" i="35"/>
  <c r="B93" i="35"/>
  <c r="C92" i="35"/>
  <c r="B92" i="35"/>
  <c r="C94" i="35"/>
  <c r="B94" i="35"/>
  <c r="C98" i="35"/>
  <c r="B98" i="35"/>
  <c r="C97" i="35"/>
  <c r="B97" i="35"/>
  <c r="B99" i="35"/>
  <c r="C84" i="35"/>
  <c r="B84" i="35"/>
  <c r="C83" i="35"/>
  <c r="B83" i="35"/>
  <c r="B82" i="35"/>
  <c r="B77" i="35"/>
  <c r="B76" i="35"/>
  <c r="B75" i="35"/>
  <c r="C63" i="35"/>
  <c r="B63" i="35"/>
  <c r="B62" i="35"/>
  <c r="B61" i="35"/>
  <c r="C60" i="35"/>
  <c r="B60" i="35"/>
  <c r="C59" i="35"/>
  <c r="B59" i="35"/>
  <c r="C73" i="35"/>
  <c r="B73" i="35"/>
  <c r="C72" i="35"/>
  <c r="B72" i="35"/>
  <c r="C71" i="35"/>
  <c r="B71" i="35"/>
  <c r="C70" i="35"/>
  <c r="B70" i="35"/>
  <c r="C69" i="35"/>
  <c r="B69" i="35"/>
  <c r="C68" i="35"/>
  <c r="B68" i="35"/>
  <c r="C67" i="35"/>
  <c r="B67" i="35"/>
  <c r="B66" i="35"/>
  <c r="C65" i="35"/>
  <c r="B65" i="35"/>
  <c r="C26" i="35"/>
  <c r="B26" i="35"/>
  <c r="C25" i="35"/>
  <c r="B25" i="35"/>
  <c r="C24" i="35"/>
  <c r="B24" i="35"/>
  <c r="C23" i="35"/>
  <c r="B23" i="35"/>
  <c r="C22" i="35"/>
  <c r="B22" i="35"/>
  <c r="C21" i="35"/>
  <c r="B21" i="35"/>
  <c r="C20" i="35"/>
  <c r="B20" i="35"/>
  <c r="C19" i="35"/>
  <c r="B19" i="35"/>
  <c r="C18" i="35"/>
  <c r="B18" i="35"/>
  <c r="C27" i="35"/>
  <c r="B17" i="35"/>
  <c r="C12" i="35"/>
  <c r="B12" i="35"/>
  <c r="C11" i="35"/>
  <c r="B11" i="35"/>
  <c r="B10" i="35"/>
  <c r="C9" i="35"/>
  <c r="B9" i="35"/>
  <c r="C34" i="35"/>
  <c r="B34" i="35"/>
  <c r="B33" i="35"/>
  <c r="C56" i="35"/>
  <c r="B56" i="35"/>
  <c r="C55" i="35"/>
  <c r="B55" i="35"/>
  <c r="C54" i="35"/>
  <c r="B54" i="35"/>
  <c r="C53" i="35"/>
  <c r="B53" i="35"/>
  <c r="B51" i="35"/>
  <c r="B50" i="35"/>
  <c r="C49" i="35"/>
  <c r="B49" i="35"/>
  <c r="C48" i="35"/>
  <c r="B48" i="35"/>
  <c r="C47" i="35"/>
  <c r="B47" i="35"/>
  <c r="C46" i="35"/>
  <c r="B46" i="35"/>
  <c r="C45" i="35"/>
  <c r="B45" i="35"/>
  <c r="B44" i="35"/>
  <c r="C43" i="35"/>
  <c r="B43" i="35"/>
  <c r="B42" i="35"/>
  <c r="C40" i="35"/>
  <c r="B40" i="35"/>
  <c r="B39" i="35"/>
  <c r="C38" i="35"/>
  <c r="B38" i="35"/>
  <c r="B8" i="35"/>
  <c r="K7" i="35"/>
  <c r="B4" i="35"/>
  <c r="C3" i="35"/>
  <c r="B3" i="35"/>
  <c r="B2" i="35"/>
  <c r="F3" i="33"/>
  <c r="B283" i="33"/>
  <c r="B279" i="33" s="1"/>
  <c r="B275" i="33"/>
  <c r="I339" i="33"/>
  <c r="B339" i="33"/>
  <c r="I341" i="33"/>
  <c r="B341" i="33"/>
  <c r="B338" i="33"/>
  <c r="B350" i="33"/>
  <c r="B351" i="33"/>
  <c r="I351" i="33"/>
  <c r="I350" i="33"/>
  <c r="I349" i="33"/>
  <c r="B349" i="33"/>
  <c r="C349" i="33"/>
  <c r="I348" i="33"/>
  <c r="I347" i="33"/>
  <c r="I333" i="33"/>
  <c r="I332" i="33"/>
  <c r="I328" i="33"/>
  <c r="C328" i="33"/>
  <c r="B328" i="33"/>
  <c r="I329" i="33"/>
  <c r="I327" i="33"/>
  <c r="I323" i="33"/>
  <c r="I322" i="33"/>
  <c r="B95" i="33"/>
  <c r="I316" i="33"/>
  <c r="I315" i="33"/>
  <c r="I309" i="33"/>
  <c r="I308" i="33"/>
  <c r="I307" i="33"/>
  <c r="I306" i="33"/>
  <c r="I305" i="33"/>
  <c r="I298" i="33"/>
  <c r="I297" i="33"/>
  <c r="I287" i="33"/>
  <c r="I286" i="33"/>
  <c r="B344" i="33"/>
  <c r="B343" i="33"/>
  <c r="I340" i="33"/>
  <c r="I273" i="33"/>
  <c r="I272" i="33"/>
  <c r="I271" i="33"/>
  <c r="I270" i="33"/>
  <c r="I269" i="33"/>
  <c r="I267" i="33"/>
  <c r="I260" i="33"/>
  <c r="I259" i="33"/>
  <c r="I253" i="33"/>
  <c r="I252" i="33"/>
  <c r="I246" i="33"/>
  <c r="I245" i="33"/>
  <c r="I238" i="33"/>
  <c r="I237" i="33"/>
  <c r="I236" i="33"/>
  <c r="I235" i="33"/>
  <c r="I233" i="33"/>
  <c r="I234" i="33"/>
  <c r="I230" i="33"/>
  <c r="B229" i="33"/>
  <c r="B232" i="33"/>
  <c r="I224" i="33"/>
  <c r="I223" i="33"/>
  <c r="B222" i="33"/>
  <c r="B221" i="33"/>
  <c r="I198" i="33"/>
  <c r="B198" i="33"/>
  <c r="I197" i="33"/>
  <c r="B199" i="33"/>
  <c r="B197" i="33"/>
  <c r="C197" i="33"/>
  <c r="B193" i="33"/>
  <c r="I195" i="33"/>
  <c r="B202" i="33"/>
  <c r="I196" i="33"/>
  <c r="I219" i="33"/>
  <c r="B219" i="33"/>
  <c r="I213" i="33"/>
  <c r="I212" i="33"/>
  <c r="I211" i="33"/>
  <c r="U72" i="32"/>
  <c r="I194" i="33"/>
  <c r="I185" i="33"/>
  <c r="I180" i="33"/>
  <c r="I179" i="33"/>
  <c r="I178" i="33"/>
  <c r="I177" i="33"/>
  <c r="I184" i="33"/>
  <c r="I183" i="33"/>
  <c r="I182" i="33"/>
  <c r="I181" i="33"/>
  <c r="C185" i="33"/>
  <c r="C184" i="33"/>
  <c r="C183" i="33"/>
  <c r="C182" i="33"/>
  <c r="C181" i="33"/>
  <c r="C180" i="33"/>
  <c r="C179" i="33"/>
  <c r="C178" i="33"/>
  <c r="C177" i="33"/>
  <c r="B185" i="33"/>
  <c r="B184" i="33"/>
  <c r="B183" i="33"/>
  <c r="B182" i="33"/>
  <c r="B181" i="33"/>
  <c r="B180" i="33"/>
  <c r="B179" i="33"/>
  <c r="B178" i="33"/>
  <c r="B177" i="33"/>
  <c r="I186" i="33"/>
  <c r="B186" i="33"/>
  <c r="I174" i="33"/>
  <c r="I190" i="33"/>
  <c r="I189" i="33"/>
  <c r="I171" i="33"/>
  <c r="I170" i="33"/>
  <c r="I169" i="33"/>
  <c r="B165" i="33"/>
  <c r="I165" i="33"/>
  <c r="C165" i="33"/>
  <c r="B164" i="33"/>
  <c r="B163" i="33"/>
  <c r="B162" i="33"/>
  <c r="I164" i="33"/>
  <c r="I163" i="33"/>
  <c r="I162" i="33"/>
  <c r="I161" i="33"/>
  <c r="C162" i="33"/>
  <c r="C161" i="33"/>
  <c r="B161" i="33"/>
  <c r="B160" i="33"/>
  <c r="I137" i="33"/>
  <c r="I156" i="33"/>
  <c r="C156" i="33"/>
  <c r="B156" i="33"/>
  <c r="I294" i="33"/>
  <c r="I293" i="33"/>
  <c r="I155" i="33"/>
  <c r="I152" i="33"/>
  <c r="I151" i="33"/>
  <c r="I150" i="33"/>
  <c r="I149" i="33"/>
  <c r="I148" i="33"/>
  <c r="I146" i="33"/>
  <c r="I134" i="33"/>
  <c r="I133" i="33"/>
  <c r="I132" i="33"/>
  <c r="I141" i="33"/>
  <c r="I140" i="33"/>
  <c r="B129" i="33"/>
  <c r="C129" i="33"/>
  <c r="I129" i="33"/>
  <c r="I128" i="33"/>
  <c r="I127" i="33"/>
  <c r="I126" i="33"/>
  <c r="U315" i="27"/>
  <c r="I125" i="33"/>
  <c r="I124" i="33"/>
  <c r="I121" i="33"/>
  <c r="I143" i="33"/>
  <c r="I142" i="33"/>
  <c r="I113" i="33"/>
  <c r="I112" i="33"/>
  <c r="I110" i="33"/>
  <c r="I109" i="33"/>
  <c r="I108" i="33"/>
  <c r="I106" i="33"/>
  <c r="I105" i="33"/>
  <c r="I103" i="33"/>
  <c r="I99" i="33"/>
  <c r="I74" i="33"/>
  <c r="I73" i="33"/>
  <c r="I72" i="33"/>
  <c r="I71" i="33"/>
  <c r="I70" i="33"/>
  <c r="I69" i="33"/>
  <c r="I68" i="33"/>
  <c r="I66" i="33"/>
  <c r="I95" i="33"/>
  <c r="B94" i="33"/>
  <c r="C95" i="33"/>
  <c r="I89" i="33"/>
  <c r="B89" i="33"/>
  <c r="I82" i="33"/>
  <c r="I81" i="33"/>
  <c r="I80" i="33"/>
  <c r="I79" i="33"/>
  <c r="I78" i="33"/>
  <c r="I77" i="33"/>
  <c r="I76" i="33"/>
  <c r="I75" i="33"/>
  <c r="I52" i="33"/>
  <c r="I31" i="33"/>
  <c r="C31" i="33"/>
  <c r="B31" i="33"/>
  <c r="B12" i="33"/>
  <c r="I12" i="33"/>
  <c r="B11" i="33"/>
  <c r="B13" i="33"/>
  <c r="I10" i="33"/>
  <c r="I60" i="33"/>
  <c r="I59" i="33"/>
  <c r="I58" i="33"/>
  <c r="I57" i="33"/>
  <c r="I55" i="33"/>
  <c r="I54" i="33"/>
  <c r="I51" i="33"/>
  <c r="I45" i="33"/>
  <c r="I44" i="33"/>
  <c r="I43" i="33"/>
  <c r="I41" i="33"/>
  <c r="I36" i="33"/>
  <c r="I35" i="33"/>
  <c r="I33" i="33"/>
  <c r="I28" i="33"/>
  <c r="I27" i="33"/>
  <c r="I26" i="33"/>
  <c r="I25" i="33"/>
  <c r="I22" i="33"/>
  <c r="I21" i="33"/>
  <c r="I20" i="33"/>
  <c r="I19" i="33"/>
  <c r="I18" i="33"/>
  <c r="I16" i="33"/>
  <c r="I13" i="33"/>
  <c r="I11" i="33"/>
  <c r="B10" i="33"/>
  <c r="B358" i="33"/>
  <c r="C355" i="33"/>
  <c r="B355" i="33"/>
  <c r="B354" i="33"/>
  <c r="B348" i="33"/>
  <c r="C347" i="33"/>
  <c r="B347" i="33"/>
  <c r="B346" i="33"/>
  <c r="B336" i="33"/>
  <c r="B335" i="33"/>
  <c r="B333" i="33"/>
  <c r="C332" i="33"/>
  <c r="B332" i="33"/>
  <c r="B331" i="33"/>
  <c r="B329" i="33"/>
  <c r="C327" i="33"/>
  <c r="B327" i="33"/>
  <c r="B326" i="33"/>
  <c r="B325" i="33"/>
  <c r="B323" i="33"/>
  <c r="C322" i="33"/>
  <c r="B322" i="33"/>
  <c r="B321" i="33"/>
  <c r="B319" i="33"/>
  <c r="B318" i="33"/>
  <c r="B316" i="33"/>
  <c r="C315" i="33"/>
  <c r="B315" i="33"/>
  <c r="B314" i="33"/>
  <c r="B312" i="33"/>
  <c r="B311" i="33"/>
  <c r="B309" i="33"/>
  <c r="B308" i="33"/>
  <c r="C307" i="33"/>
  <c r="B307" i="33"/>
  <c r="C306" i="33"/>
  <c r="B306" i="33"/>
  <c r="C305" i="33"/>
  <c r="B305" i="33"/>
  <c r="B304" i="33"/>
  <c r="B303" i="33"/>
  <c r="B301" i="33"/>
  <c r="B300" i="33"/>
  <c r="B298" i="33"/>
  <c r="C297" i="33"/>
  <c r="B297" i="33"/>
  <c r="B296" i="33"/>
  <c r="B294" i="33"/>
  <c r="C293" i="33"/>
  <c r="B293" i="33"/>
  <c r="B292" i="33"/>
  <c r="B290" i="33"/>
  <c r="B289" i="33"/>
  <c r="C286" i="33"/>
  <c r="B286" i="33"/>
  <c r="B285" i="33"/>
  <c r="C340" i="33"/>
  <c r="C273" i="33"/>
  <c r="B273" i="33"/>
  <c r="C272" i="33"/>
  <c r="B272" i="33"/>
  <c r="C271" i="33"/>
  <c r="B271" i="33"/>
  <c r="C270" i="33"/>
  <c r="B270" i="33"/>
  <c r="C269" i="33"/>
  <c r="B269" i="33"/>
  <c r="B268" i="33"/>
  <c r="C267" i="33"/>
  <c r="B267" i="33"/>
  <c r="B266" i="33"/>
  <c r="B265" i="33"/>
  <c r="B260" i="33"/>
  <c r="C259" i="33"/>
  <c r="B259" i="33"/>
  <c r="B258" i="33"/>
  <c r="B256" i="33"/>
  <c r="B255" i="33"/>
  <c r="B253" i="33"/>
  <c r="C252" i="33"/>
  <c r="B252" i="33"/>
  <c r="B251" i="33"/>
  <c r="B249" i="33"/>
  <c r="B248" i="33"/>
  <c r="B246" i="33"/>
  <c r="C245" i="33"/>
  <c r="B245" i="33"/>
  <c r="B244" i="33"/>
  <c r="B242" i="33"/>
  <c r="B241" i="33"/>
  <c r="B240" i="33"/>
  <c r="B238" i="33"/>
  <c r="B237" i="33"/>
  <c r="B236" i="33"/>
  <c r="C235" i="33"/>
  <c r="B235" i="33"/>
  <c r="C234" i="33"/>
  <c r="B234" i="33"/>
  <c r="C233" i="33"/>
  <c r="B233" i="33"/>
  <c r="B230" i="33"/>
  <c r="B227" i="33"/>
  <c r="B226" i="33"/>
  <c r="B224" i="33"/>
  <c r="C223" i="33"/>
  <c r="B223" i="33"/>
  <c r="U59" i="32"/>
  <c r="U49" i="32"/>
  <c r="U14" i="32"/>
  <c r="U21" i="32"/>
  <c r="B24" i="32"/>
  <c r="B73" i="32" l="1"/>
  <c r="B41" i="31"/>
  <c r="U18" i="31"/>
  <c r="U20" i="31"/>
  <c r="U19" i="31"/>
  <c r="U9" i="31"/>
  <c r="U14" i="31"/>
  <c r="U11" i="31"/>
  <c r="U14" i="28" l="1"/>
  <c r="U319" i="27"/>
  <c r="U316" i="27"/>
  <c r="U313" i="27"/>
  <c r="U227" i="27"/>
  <c r="U202" i="27"/>
  <c r="U201" i="27"/>
  <c r="U73" i="27"/>
  <c r="U22" i="27"/>
  <c r="U14" i="27"/>
  <c r="U13" i="27"/>
  <c r="U197" i="26"/>
  <c r="U184" i="26"/>
  <c r="U167" i="26"/>
  <c r="U153" i="26"/>
  <c r="U150" i="26"/>
  <c r="U147" i="26"/>
  <c r="U144" i="26"/>
  <c r="U141" i="26"/>
  <c r="U138" i="26"/>
  <c r="U132" i="26"/>
  <c r="U131" i="26"/>
  <c r="U110" i="26"/>
  <c r="U79" i="26"/>
  <c r="U72" i="26"/>
  <c r="U69" i="26"/>
  <c r="U67" i="26"/>
  <c r="U55" i="26"/>
  <c r="U43" i="26"/>
  <c r="U42" i="26"/>
  <c r="U41" i="26"/>
  <c r="U40" i="26"/>
  <c r="U39" i="26"/>
  <c r="U38" i="26"/>
  <c r="U37" i="26"/>
  <c r="U36" i="26"/>
  <c r="U35" i="26"/>
  <c r="U33" i="26"/>
  <c r="U23" i="26"/>
  <c r="U139" i="25"/>
  <c r="U116" i="25"/>
  <c r="U100" i="25"/>
  <c r="U92" i="25"/>
  <c r="U90" i="25"/>
  <c r="U65" i="25"/>
  <c r="U46" i="25"/>
  <c r="U26" i="25"/>
  <c r="U9" i="25"/>
  <c r="B84" i="28"/>
  <c r="B8" i="28" l="1"/>
  <c r="B188" i="27"/>
  <c r="B111" i="27"/>
  <c r="B8" i="27"/>
  <c r="B408" i="27"/>
  <c r="B246" i="26" l="1"/>
  <c r="C230" i="26" l="1"/>
  <c r="B205" i="25" l="1"/>
  <c r="B75" i="32"/>
  <c r="B113" i="25"/>
  <c r="U37" i="31" l="1"/>
  <c r="U35" i="31"/>
  <c r="B7" i="24"/>
  <c r="B6" i="24"/>
  <c r="B6" i="33"/>
  <c r="I7" i="33"/>
  <c r="U7" i="32"/>
  <c r="U7" i="31"/>
  <c r="U7" i="28"/>
  <c r="U7" i="27"/>
  <c r="U7" i="26"/>
  <c r="U7" i="25"/>
  <c r="C14" i="7" l="1"/>
  <c r="C37" i="31"/>
  <c r="B37" i="31"/>
  <c r="C36" i="31"/>
  <c r="B36" i="31"/>
  <c r="C35" i="31"/>
  <c r="B35" i="31"/>
  <c r="C33" i="31"/>
  <c r="B33" i="31"/>
  <c r="C32" i="31"/>
  <c r="B32" i="31"/>
  <c r="C31" i="31"/>
  <c r="B31" i="31"/>
  <c r="C30" i="31"/>
  <c r="B30" i="31"/>
  <c r="C29" i="31"/>
  <c r="B29" i="31"/>
  <c r="C28" i="31"/>
  <c r="B28" i="31"/>
  <c r="B27" i="31"/>
  <c r="C26" i="31"/>
  <c r="B26" i="31"/>
  <c r="B25" i="31"/>
  <c r="B23" i="31"/>
  <c r="B22" i="31"/>
  <c r="C20" i="31"/>
  <c r="B20" i="31"/>
  <c r="B19" i="31"/>
  <c r="C18" i="31"/>
  <c r="B18" i="31"/>
  <c r="B17" i="31"/>
  <c r="C15" i="31"/>
  <c r="B15" i="31"/>
  <c r="C14" i="31"/>
  <c r="C13" i="31"/>
  <c r="B13" i="31"/>
  <c r="C12" i="31"/>
  <c r="B12" i="31"/>
  <c r="C11" i="31"/>
  <c r="B11" i="31"/>
  <c r="B10" i="31"/>
  <c r="C9" i="31"/>
  <c r="B9" i="31"/>
  <c r="C8" i="31"/>
  <c r="B8" i="31"/>
  <c r="W7" i="31"/>
  <c r="T7" i="31"/>
  <c r="S7" i="31"/>
  <c r="B6" i="31"/>
  <c r="E3" i="31"/>
  <c r="C3" i="31"/>
  <c r="B3" i="31"/>
  <c r="B2" i="31"/>
  <c r="C72" i="32"/>
  <c r="B72" i="32"/>
  <c r="B71" i="32"/>
  <c r="B69" i="32"/>
  <c r="B68" i="32"/>
  <c r="B67" i="32"/>
  <c r="C66" i="32"/>
  <c r="B66" i="32"/>
  <c r="B65" i="32"/>
  <c r="C64" i="32"/>
  <c r="B64" i="32"/>
  <c r="B63" i="32"/>
  <c r="C62" i="32"/>
  <c r="B62" i="32"/>
  <c r="B61" i="32"/>
  <c r="B59" i="32"/>
  <c r="C58" i="32"/>
  <c r="B58" i="32"/>
  <c r="B57" i="32"/>
  <c r="C55" i="32"/>
  <c r="B55" i="32"/>
  <c r="C54" i="32"/>
  <c r="B54" i="32"/>
  <c r="C53" i="32"/>
  <c r="B53" i="32"/>
  <c r="B52" i="32"/>
  <c r="B51" i="32"/>
  <c r="B49" i="32"/>
  <c r="C48" i="32"/>
  <c r="B48" i="32"/>
  <c r="C47" i="32"/>
  <c r="B47" i="32"/>
  <c r="B46" i="32"/>
  <c r="C45" i="32"/>
  <c r="B45" i="32"/>
  <c r="B44" i="32"/>
  <c r="B43" i="32"/>
  <c r="C41" i="32"/>
  <c r="B41" i="32"/>
  <c r="C40" i="32"/>
  <c r="B40" i="32"/>
  <c r="B39" i="32"/>
  <c r="C37" i="32"/>
  <c r="B37" i="32"/>
  <c r="C36" i="32"/>
  <c r="B36" i="32"/>
  <c r="B35" i="32"/>
  <c r="C33" i="32"/>
  <c r="B33" i="32"/>
  <c r="C32" i="32"/>
  <c r="B32" i="32"/>
  <c r="B31" i="32"/>
  <c r="C29" i="32"/>
  <c r="B29" i="32"/>
  <c r="C28" i="32"/>
  <c r="B28" i="32"/>
  <c r="B27" i="32"/>
  <c r="B26" i="32"/>
  <c r="B23" i="32"/>
  <c r="B21" i="32"/>
  <c r="C20" i="32"/>
  <c r="B20" i="32"/>
  <c r="B19" i="32"/>
  <c r="C18" i="32"/>
  <c r="B18" i="32"/>
  <c r="C17" i="32"/>
  <c r="B17" i="32"/>
  <c r="C16" i="32"/>
  <c r="B16" i="32"/>
  <c r="B15" i="32"/>
  <c r="B14" i="32"/>
  <c r="C13" i="32"/>
  <c r="B13" i="32"/>
  <c r="C12" i="32"/>
  <c r="B12" i="32"/>
  <c r="B11" i="32"/>
  <c r="C10" i="32"/>
  <c r="B10" i="32"/>
  <c r="B9" i="32"/>
  <c r="B8" i="32"/>
  <c r="W7" i="32"/>
  <c r="T7" i="32"/>
  <c r="S7" i="32"/>
  <c r="R7" i="32"/>
  <c r="B6" i="32"/>
  <c r="H3" i="32"/>
  <c r="E4" i="32"/>
  <c r="B4" i="32"/>
  <c r="E3" i="32"/>
  <c r="C3" i="32"/>
  <c r="B3" i="32"/>
  <c r="B2" i="32"/>
  <c r="B218" i="33"/>
  <c r="B216" i="33"/>
  <c r="B215" i="33"/>
  <c r="C213" i="33"/>
  <c r="B213" i="33"/>
  <c r="C212" i="33"/>
  <c r="B212" i="33"/>
  <c r="C211" i="33"/>
  <c r="B211" i="33"/>
  <c r="C210" i="33"/>
  <c r="B210" i="33"/>
  <c r="B204" i="33"/>
  <c r="B201" i="33"/>
  <c r="B200" i="33"/>
  <c r="B196" i="33"/>
  <c r="C195" i="33"/>
  <c r="C194" i="33"/>
  <c r="B194" i="33"/>
  <c r="B192" i="33"/>
  <c r="C190" i="33"/>
  <c r="B190" i="33"/>
  <c r="C189" i="33"/>
  <c r="B189" i="33"/>
  <c r="B188" i="33"/>
  <c r="C186" i="33"/>
  <c r="B176" i="33"/>
  <c r="C174" i="33"/>
  <c r="B174" i="33"/>
  <c r="B173" i="33"/>
  <c r="B171" i="33"/>
  <c r="B170" i="33"/>
  <c r="B169" i="33"/>
  <c r="B168" i="33"/>
  <c r="B167" i="33"/>
  <c r="B158" i="33"/>
  <c r="B157" i="33"/>
  <c r="B155" i="33"/>
  <c r="B154" i="33"/>
  <c r="C152" i="33"/>
  <c r="B152" i="33"/>
  <c r="C151" i="33"/>
  <c r="C150" i="33"/>
  <c r="B150" i="33"/>
  <c r="C149" i="33"/>
  <c r="B149" i="33"/>
  <c r="C148" i="33"/>
  <c r="B148" i="33"/>
  <c r="B147" i="33"/>
  <c r="C146" i="33"/>
  <c r="B146" i="33"/>
  <c r="B145" i="33"/>
  <c r="C143" i="33"/>
  <c r="B143" i="33"/>
  <c r="C142" i="33"/>
  <c r="C141" i="33"/>
  <c r="B141" i="33"/>
  <c r="C140" i="33"/>
  <c r="B140" i="33"/>
  <c r="B139" i="33"/>
  <c r="C137" i="33"/>
  <c r="B137" i="33"/>
  <c r="B136" i="33"/>
  <c r="C134" i="33"/>
  <c r="B134" i="33"/>
  <c r="C133" i="33"/>
  <c r="B133" i="33"/>
  <c r="C132" i="33"/>
  <c r="B132" i="33"/>
  <c r="B131" i="33"/>
  <c r="C128" i="33"/>
  <c r="B128" i="33"/>
  <c r="C127" i="33"/>
  <c r="B127" i="33"/>
  <c r="C126" i="33"/>
  <c r="B126" i="33"/>
  <c r="C125" i="33"/>
  <c r="B125" i="33"/>
  <c r="B124" i="33"/>
  <c r="B123" i="33"/>
  <c r="B121" i="33"/>
  <c r="B120" i="33"/>
  <c r="B118" i="33"/>
  <c r="B117" i="33"/>
  <c r="B116" i="33"/>
  <c r="B115" i="33"/>
  <c r="B113" i="33"/>
  <c r="B112" i="33"/>
  <c r="B111" i="33"/>
  <c r="B110" i="33"/>
  <c r="B109" i="33"/>
  <c r="B108" i="33"/>
  <c r="B107" i="33"/>
  <c r="B106" i="33"/>
  <c r="B105" i="33"/>
  <c r="B104" i="33"/>
  <c r="C103" i="33"/>
  <c r="B103" i="33"/>
  <c r="B102" i="33"/>
  <c r="C99" i="33"/>
  <c r="B99" i="33"/>
  <c r="B98" i="33"/>
  <c r="B97" i="33"/>
  <c r="B92" i="33"/>
  <c r="B91" i="33"/>
  <c r="C89" i="33"/>
  <c r="B88" i="33"/>
  <c r="B86" i="33"/>
  <c r="B85" i="33"/>
  <c r="B84" i="33"/>
  <c r="B82" i="33"/>
  <c r="B81" i="33"/>
  <c r="B80" i="33"/>
  <c r="C79" i="33"/>
  <c r="B79" i="33"/>
  <c r="C78" i="33"/>
  <c r="B78" i="33"/>
  <c r="C77" i="33"/>
  <c r="B77" i="33"/>
  <c r="C76" i="33"/>
  <c r="B76" i="33"/>
  <c r="C75" i="33"/>
  <c r="B75" i="33"/>
  <c r="C74" i="33"/>
  <c r="B74" i="33"/>
  <c r="C73" i="33"/>
  <c r="B73" i="33"/>
  <c r="C72" i="33"/>
  <c r="B72" i="33"/>
  <c r="C71" i="33"/>
  <c r="B71" i="33"/>
  <c r="C70" i="33"/>
  <c r="B70" i="33"/>
  <c r="C69" i="33"/>
  <c r="B69" i="33"/>
  <c r="C68" i="33"/>
  <c r="B68" i="33"/>
  <c r="B67" i="33"/>
  <c r="C66" i="33"/>
  <c r="B66" i="33"/>
  <c r="B65" i="33"/>
  <c r="B63" i="33"/>
  <c r="B62" i="33"/>
  <c r="C60" i="33"/>
  <c r="B60" i="33"/>
  <c r="C59" i="33"/>
  <c r="B59" i="33"/>
  <c r="C58" i="33"/>
  <c r="B58" i="33"/>
  <c r="C57" i="33"/>
  <c r="B57" i="33"/>
  <c r="C56" i="33"/>
  <c r="B56" i="33"/>
  <c r="C55" i="33"/>
  <c r="B55" i="33"/>
  <c r="C54" i="33"/>
  <c r="B54" i="33"/>
  <c r="C53" i="33"/>
  <c r="B53" i="33"/>
  <c r="C52" i="33"/>
  <c r="B52" i="33"/>
  <c r="C51" i="33"/>
  <c r="B51" i="33"/>
  <c r="B50" i="33"/>
  <c r="B48" i="33"/>
  <c r="B47" i="33"/>
  <c r="C45" i="33"/>
  <c r="C44" i="33"/>
  <c r="B44" i="33"/>
  <c r="C43" i="33"/>
  <c r="B43" i="33"/>
  <c r="B42" i="33"/>
  <c r="C41" i="33"/>
  <c r="B41" i="33"/>
  <c r="B39" i="33"/>
  <c r="B38" i="33"/>
  <c r="C36" i="33"/>
  <c r="B36" i="33"/>
  <c r="C35" i="33"/>
  <c r="B35" i="33"/>
  <c r="B34" i="33"/>
  <c r="C33" i="33"/>
  <c r="B33" i="33"/>
  <c r="B30" i="33"/>
  <c r="C28" i="33"/>
  <c r="B28" i="33"/>
  <c r="C27" i="33"/>
  <c r="B27" i="33"/>
  <c r="C26" i="33"/>
  <c r="B26" i="33"/>
  <c r="C25" i="33"/>
  <c r="B25" i="33"/>
  <c r="B24" i="33"/>
  <c r="B23" i="33"/>
  <c r="C22" i="33"/>
  <c r="B22" i="33"/>
  <c r="C21" i="33"/>
  <c r="C20" i="33"/>
  <c r="B20" i="33"/>
  <c r="C19" i="33"/>
  <c r="B19" i="33"/>
  <c r="C18" i="33"/>
  <c r="B18" i="33"/>
  <c r="B17" i="33"/>
  <c r="C16" i="33"/>
  <c r="B16" i="33"/>
  <c r="B15" i="33"/>
  <c r="C13" i="33"/>
  <c r="C11" i="33"/>
  <c r="C10" i="33"/>
  <c r="B9" i="33"/>
  <c r="B8" i="33"/>
  <c r="K7" i="33"/>
  <c r="C4" i="33"/>
  <c r="B4" i="33"/>
  <c r="C3" i="33"/>
  <c r="B3" i="33"/>
  <c r="B2" i="33"/>
  <c r="B21" i="33"/>
  <c r="B12" i="25" l="1"/>
  <c r="B49" i="26"/>
  <c r="B55" i="26"/>
  <c r="B51" i="26"/>
  <c r="B53" i="26"/>
  <c r="B52" i="26"/>
  <c r="W7" i="28"/>
  <c r="W7" i="27"/>
  <c r="B324" i="27"/>
  <c r="B326" i="27"/>
  <c r="B325" i="27"/>
  <c r="B404" i="27"/>
  <c r="B403" i="27"/>
  <c r="B57" i="25"/>
  <c r="W7" i="25"/>
  <c r="W7" i="26"/>
  <c r="B54" i="25"/>
  <c r="C56" i="25"/>
  <c r="C57" i="25"/>
  <c r="C58" i="25"/>
  <c r="C55" i="25"/>
  <c r="C72" i="25"/>
  <c r="B61" i="25"/>
  <c r="B62" i="25"/>
  <c r="C51" i="25"/>
  <c r="C52" i="25"/>
  <c r="C50" i="25"/>
  <c r="C47" i="25"/>
  <c r="C48" i="25"/>
  <c r="B198" i="27"/>
  <c r="B228" i="26"/>
  <c r="B189" i="26"/>
  <c r="B182" i="26"/>
  <c r="B93" i="26"/>
  <c r="B45" i="26"/>
  <c r="B46" i="26"/>
  <c r="C55" i="26"/>
  <c r="B3" i="28"/>
  <c r="B371" i="27"/>
  <c r="J4" i="27"/>
  <c r="B308" i="27"/>
  <c r="G4" i="27"/>
  <c r="B226" i="27"/>
  <c r="G3" i="27"/>
  <c r="B197" i="27"/>
  <c r="C4" i="27"/>
  <c r="C3" i="27"/>
  <c r="B4" i="27"/>
  <c r="B3" i="27"/>
  <c r="B239" i="26"/>
  <c r="J4" i="26"/>
  <c r="B227" i="26"/>
  <c r="J3" i="26"/>
  <c r="B166" i="26"/>
  <c r="G3" i="26"/>
  <c r="B108" i="26"/>
  <c r="F3" i="26"/>
  <c r="B78" i="26"/>
  <c r="C3" i="26"/>
  <c r="B32" i="26"/>
  <c r="B5" i="26"/>
  <c r="B19" i="26"/>
  <c r="B4" i="26"/>
  <c r="B3" i="26"/>
  <c r="B8" i="26"/>
  <c r="B156" i="25"/>
  <c r="C3" i="25"/>
  <c r="B8" i="25"/>
  <c r="B3" i="25"/>
  <c r="B219" i="26"/>
  <c r="B6" i="26"/>
  <c r="C225" i="26"/>
  <c r="B202" i="25"/>
  <c r="B201" i="25"/>
  <c r="C199" i="25"/>
  <c r="B199" i="25"/>
  <c r="C198" i="25"/>
  <c r="B198" i="25"/>
  <c r="C197" i="25"/>
  <c r="B197" i="25"/>
  <c r="B196" i="25"/>
  <c r="B195" i="25"/>
  <c r="B193" i="25"/>
  <c r="B192" i="25"/>
  <c r="B190" i="25"/>
  <c r="B189" i="25"/>
  <c r="B188" i="25"/>
  <c r="C187" i="25"/>
  <c r="B187" i="25"/>
  <c r="C186" i="25"/>
  <c r="B186" i="25"/>
  <c r="C185" i="25"/>
  <c r="B185" i="25"/>
  <c r="C184" i="25"/>
  <c r="B184" i="25"/>
  <c r="C183" i="25"/>
  <c r="B183" i="25"/>
  <c r="B182" i="25"/>
  <c r="B181" i="25"/>
  <c r="B180" i="25"/>
  <c r="C179" i="25"/>
  <c r="B179" i="25"/>
  <c r="C178" i="25"/>
  <c r="B178" i="25"/>
  <c r="C177" i="25"/>
  <c r="B177" i="25"/>
  <c r="C176" i="25"/>
  <c r="B176" i="25"/>
  <c r="C175" i="25"/>
  <c r="B175" i="25"/>
  <c r="C174" i="25"/>
  <c r="B174" i="25"/>
  <c r="C173" i="25"/>
  <c r="B173" i="25"/>
  <c r="C172" i="25"/>
  <c r="B172" i="25"/>
  <c r="B171" i="25"/>
  <c r="C170" i="25"/>
  <c r="B170" i="25"/>
  <c r="B168" i="25"/>
  <c r="B167" i="25"/>
  <c r="C166" i="25"/>
  <c r="B166" i="25"/>
  <c r="C165" i="25"/>
  <c r="B165" i="25"/>
  <c r="C164" i="25"/>
  <c r="B164" i="25"/>
  <c r="C163" i="25"/>
  <c r="B163" i="25"/>
  <c r="C162" i="25"/>
  <c r="B162" i="25"/>
  <c r="C161" i="25"/>
  <c r="B161" i="25"/>
  <c r="C160" i="25"/>
  <c r="B160" i="25"/>
  <c r="C159" i="25"/>
  <c r="B159" i="25"/>
  <c r="B158" i="25"/>
  <c r="C157" i="25"/>
  <c r="B157" i="25"/>
  <c r="B154" i="25"/>
  <c r="B152" i="25"/>
  <c r="B151" i="25"/>
  <c r="B149" i="25"/>
  <c r="C148" i="25"/>
  <c r="B148" i="25"/>
  <c r="C147" i="25"/>
  <c r="B147" i="25"/>
  <c r="B146" i="25"/>
  <c r="C145" i="25"/>
  <c r="B145" i="25"/>
  <c r="C144" i="25"/>
  <c r="B144" i="25"/>
  <c r="C143" i="25"/>
  <c r="B143" i="25"/>
  <c r="C142" i="25"/>
  <c r="B142" i="25"/>
  <c r="C141" i="25"/>
  <c r="B141" i="25"/>
  <c r="C140" i="25"/>
  <c r="B140" i="25"/>
  <c r="C139" i="25"/>
  <c r="B139" i="25"/>
  <c r="B137" i="25"/>
  <c r="B136" i="25"/>
  <c r="B135" i="25"/>
  <c r="B134" i="25"/>
  <c r="C131" i="25"/>
  <c r="B131" i="25"/>
  <c r="C130" i="25"/>
  <c r="B130" i="25"/>
  <c r="C129" i="25"/>
  <c r="B129" i="25"/>
  <c r="C128" i="25"/>
  <c r="B128" i="25"/>
  <c r="C127" i="25"/>
  <c r="B127" i="25"/>
  <c r="C126" i="25"/>
  <c r="B126" i="25"/>
  <c r="C125" i="25"/>
  <c r="B125" i="25"/>
  <c r="B124" i="25"/>
  <c r="B123" i="25"/>
  <c r="C121" i="25"/>
  <c r="B121" i="25"/>
  <c r="C120" i="25"/>
  <c r="B120" i="25"/>
  <c r="C119" i="25"/>
  <c r="B119" i="25"/>
  <c r="C118" i="25"/>
  <c r="B118" i="25"/>
  <c r="B117" i="25"/>
  <c r="C116" i="25"/>
  <c r="B116" i="25"/>
  <c r="B115" i="25"/>
  <c r="B112" i="25"/>
  <c r="C110" i="25"/>
  <c r="B110" i="25"/>
  <c r="C109" i="25"/>
  <c r="B109" i="25"/>
  <c r="C108" i="25"/>
  <c r="B108" i="25"/>
  <c r="C107" i="25"/>
  <c r="B107" i="25"/>
  <c r="C106" i="25"/>
  <c r="B106" i="25"/>
  <c r="C105" i="25"/>
  <c r="B105" i="25"/>
  <c r="B104" i="25"/>
  <c r="C103" i="25"/>
  <c r="B103" i="25"/>
  <c r="C102" i="25"/>
  <c r="B102" i="25"/>
  <c r="C101" i="25"/>
  <c r="B101" i="25"/>
  <c r="C100" i="25"/>
  <c r="B100" i="25"/>
  <c r="C99" i="25"/>
  <c r="B99" i="25"/>
  <c r="C98" i="25"/>
  <c r="B98" i="25"/>
  <c r="C97" i="25"/>
  <c r="B97" i="25"/>
  <c r="C96" i="25"/>
  <c r="B96" i="25"/>
  <c r="C95" i="25"/>
  <c r="B95" i="25"/>
  <c r="C94" i="25"/>
  <c r="B94" i="25"/>
  <c r="C93" i="25"/>
  <c r="B93" i="25"/>
  <c r="C92" i="25"/>
  <c r="B92" i="25"/>
  <c r="B91" i="25"/>
  <c r="C90" i="25"/>
  <c r="B90" i="25"/>
  <c r="B89" i="25"/>
  <c r="B87" i="25"/>
  <c r="C86" i="25"/>
  <c r="B86" i="25"/>
  <c r="C85" i="25"/>
  <c r="B85" i="25"/>
  <c r="C84" i="25"/>
  <c r="B84" i="25"/>
  <c r="C83" i="25"/>
  <c r="B83" i="25"/>
  <c r="C82" i="25"/>
  <c r="B82" i="25"/>
  <c r="C81" i="25"/>
  <c r="B80" i="25"/>
  <c r="B79" i="25"/>
  <c r="C77" i="25"/>
  <c r="B77" i="25"/>
  <c r="B76" i="25"/>
  <c r="B75" i="25"/>
  <c r="B48" i="25"/>
  <c r="B58" i="25"/>
  <c r="B56" i="25"/>
  <c r="B47" i="25"/>
  <c r="B72" i="25"/>
  <c r="C70" i="25"/>
  <c r="B70" i="25"/>
  <c r="C69" i="25"/>
  <c r="B69" i="25"/>
  <c r="C68" i="25"/>
  <c r="B68" i="25"/>
  <c r="C67" i="25"/>
  <c r="B67" i="25"/>
  <c r="B66" i="25"/>
  <c r="C65" i="25"/>
  <c r="B65" i="25"/>
  <c r="B64" i="25"/>
  <c r="B60" i="25"/>
  <c r="B59" i="25"/>
  <c r="B73" i="25"/>
  <c r="B52" i="25"/>
  <c r="B51" i="25"/>
  <c r="B50" i="25"/>
  <c r="B49" i="25"/>
  <c r="B46" i="25"/>
  <c r="B44" i="25"/>
  <c r="B43" i="25"/>
  <c r="C41" i="25"/>
  <c r="B41" i="25"/>
  <c r="C40" i="25"/>
  <c r="B40" i="25"/>
  <c r="C39" i="25"/>
  <c r="B39" i="25"/>
  <c r="B38" i="25"/>
  <c r="C37" i="25"/>
  <c r="B37" i="25"/>
  <c r="B35" i="25"/>
  <c r="B34" i="25"/>
  <c r="C31" i="25"/>
  <c r="B31" i="25"/>
  <c r="C30" i="25"/>
  <c r="B30" i="25"/>
  <c r="C29" i="25"/>
  <c r="B29" i="25"/>
  <c r="C28" i="25"/>
  <c r="B28" i="25"/>
  <c r="B27" i="25"/>
  <c r="C26" i="25"/>
  <c r="B26" i="25"/>
  <c r="C23" i="25"/>
  <c r="B23" i="25"/>
  <c r="C22" i="25"/>
  <c r="B22" i="25"/>
  <c r="C21" i="25"/>
  <c r="B21" i="25"/>
  <c r="C20" i="25"/>
  <c r="B20" i="25"/>
  <c r="B19" i="25"/>
  <c r="C18" i="25"/>
  <c r="B18" i="25"/>
  <c r="C17" i="25"/>
  <c r="B17" i="25"/>
  <c r="C16" i="25"/>
  <c r="B16" i="25"/>
  <c r="C15" i="25"/>
  <c r="B15" i="25"/>
  <c r="B14" i="25"/>
  <c r="B13" i="25"/>
  <c r="C12" i="25"/>
  <c r="C11" i="25"/>
  <c r="B11" i="25"/>
  <c r="B10" i="25"/>
  <c r="C9" i="25"/>
  <c r="B9" i="25"/>
  <c r="T7" i="25"/>
  <c r="S7" i="25"/>
  <c r="B2" i="25"/>
  <c r="B216" i="27"/>
  <c r="B215" i="27"/>
  <c r="B210" i="27"/>
  <c r="B209" i="27"/>
  <c r="B208" i="27"/>
  <c r="B74" i="28"/>
  <c r="B21" i="26"/>
  <c r="C21" i="26"/>
  <c r="B22" i="26"/>
  <c r="C22" i="26"/>
  <c r="B23" i="26"/>
  <c r="C23" i="26"/>
  <c r="B24" i="26"/>
  <c r="C24" i="26"/>
  <c r="B25" i="26"/>
  <c r="C25" i="26"/>
  <c r="B26" i="26"/>
  <c r="C26" i="26"/>
  <c r="B62" i="26"/>
  <c r="B71" i="26"/>
  <c r="B68" i="26"/>
  <c r="B70" i="26"/>
  <c r="C77" i="28"/>
  <c r="C76" i="28"/>
  <c r="C75" i="28"/>
  <c r="C74" i="28"/>
  <c r="C60" i="28"/>
  <c r="C59" i="28"/>
  <c r="C58" i="28"/>
  <c r="C33" i="28"/>
  <c r="C32" i="28"/>
  <c r="C31" i="28"/>
  <c r="C30" i="28"/>
  <c r="Z7" i="28"/>
  <c r="B29" i="24"/>
  <c r="B28" i="24"/>
  <c r="B27" i="24"/>
  <c r="B31" i="24"/>
  <c r="C15" i="7"/>
  <c r="C12" i="7"/>
  <c r="B193" i="27"/>
  <c r="C80" i="28"/>
  <c r="B77" i="28"/>
  <c r="B76" i="28"/>
  <c r="B75" i="28"/>
  <c r="C73" i="28"/>
  <c r="B73" i="28"/>
  <c r="C72" i="28"/>
  <c r="B72" i="28"/>
  <c r="C71" i="28"/>
  <c r="B71" i="28"/>
  <c r="C70" i="28"/>
  <c r="B70" i="28"/>
  <c r="B69" i="28"/>
  <c r="C67" i="28"/>
  <c r="B67" i="28"/>
  <c r="B66" i="28"/>
  <c r="C64" i="28"/>
  <c r="B64" i="28"/>
  <c r="C63" i="28"/>
  <c r="B63" i="28"/>
  <c r="C62" i="28"/>
  <c r="B62" i="28"/>
  <c r="C61" i="28"/>
  <c r="B61" i="28"/>
  <c r="B60" i="28"/>
  <c r="B59" i="28"/>
  <c r="B58" i="28"/>
  <c r="B57" i="28"/>
  <c r="C55" i="28"/>
  <c r="B55" i="28"/>
  <c r="C54" i="28"/>
  <c r="B54" i="28"/>
  <c r="C53" i="28"/>
  <c r="B53" i="28"/>
  <c r="B52" i="28"/>
  <c r="C51" i="28"/>
  <c r="B51" i="28"/>
  <c r="C50" i="28"/>
  <c r="B50" i="28"/>
  <c r="C49" i="28"/>
  <c r="B49" i="28"/>
  <c r="B48" i="28"/>
  <c r="B47" i="28"/>
  <c r="B44" i="28"/>
  <c r="B43" i="28"/>
  <c r="B42" i="28"/>
  <c r="B41" i="28"/>
  <c r="B40" i="28"/>
  <c r="C38" i="28"/>
  <c r="B38" i="28"/>
  <c r="C37" i="28"/>
  <c r="B37" i="28"/>
  <c r="C36" i="28"/>
  <c r="B36" i="28"/>
  <c r="C35" i="28"/>
  <c r="B35" i="28"/>
  <c r="C34" i="28"/>
  <c r="B34" i="28"/>
  <c r="B33" i="28"/>
  <c r="B32" i="28"/>
  <c r="B31" i="28"/>
  <c r="B30" i="28"/>
  <c r="B29" i="28"/>
  <c r="B27" i="28"/>
  <c r="B26" i="28"/>
  <c r="B25" i="28"/>
  <c r="B24" i="28"/>
  <c r="B23" i="28"/>
  <c r="B22" i="28"/>
  <c r="C20" i="28"/>
  <c r="B20" i="28"/>
  <c r="C19" i="28"/>
  <c r="B19" i="28"/>
  <c r="C18" i="28"/>
  <c r="B18" i="28"/>
  <c r="C17" i="28"/>
  <c r="B17" i="28"/>
  <c r="C16" i="28"/>
  <c r="B16" i="28"/>
  <c r="B15" i="28"/>
  <c r="C14" i="28"/>
  <c r="B14" i="28"/>
  <c r="C13" i="28"/>
  <c r="B13" i="28"/>
  <c r="C12" i="28"/>
  <c r="B12" i="28"/>
  <c r="C11" i="28"/>
  <c r="B11" i="28"/>
  <c r="B10" i="28"/>
  <c r="B9" i="28"/>
  <c r="T7" i="28"/>
  <c r="S7" i="28"/>
  <c r="B6" i="28"/>
  <c r="B2" i="28"/>
  <c r="B401" i="27"/>
  <c r="B400" i="27"/>
  <c r="B399" i="27"/>
  <c r="C398" i="27"/>
  <c r="B398" i="27"/>
  <c r="C397" i="27"/>
  <c r="B397" i="27"/>
  <c r="C396" i="27"/>
  <c r="B396" i="27"/>
  <c r="C394" i="27"/>
  <c r="B394" i="27"/>
  <c r="B393" i="27"/>
  <c r="C391" i="27"/>
  <c r="B391" i="27"/>
  <c r="C390" i="27"/>
  <c r="B390" i="27"/>
  <c r="C388" i="27"/>
  <c r="B388" i="27"/>
  <c r="C387" i="27"/>
  <c r="B387" i="27"/>
  <c r="C386" i="27"/>
  <c r="B386" i="27"/>
  <c r="B385" i="27"/>
  <c r="C384" i="27"/>
  <c r="B384" i="27"/>
  <c r="C383" i="27"/>
  <c r="B383" i="27"/>
  <c r="B382" i="27"/>
  <c r="C381" i="27"/>
  <c r="B381" i="27"/>
  <c r="C379" i="27"/>
  <c r="B379" i="27"/>
  <c r="C378" i="27"/>
  <c r="B378" i="27"/>
  <c r="C377" i="27"/>
  <c r="B377" i="27"/>
  <c r="B376" i="27"/>
  <c r="C375" i="27"/>
  <c r="B375" i="27"/>
  <c r="C374" i="27"/>
  <c r="B374" i="27"/>
  <c r="B373" i="27"/>
  <c r="C372" i="27"/>
  <c r="B372" i="27"/>
  <c r="C369" i="27"/>
  <c r="B369" i="27"/>
  <c r="B368" i="27"/>
  <c r="B362" i="27"/>
  <c r="B361" i="27"/>
  <c r="B360" i="27"/>
  <c r="B358" i="27"/>
  <c r="B356" i="27"/>
  <c r="B355" i="27"/>
  <c r="B354" i="27"/>
  <c r="B353" i="27"/>
  <c r="B352" i="27"/>
  <c r="C351" i="27"/>
  <c r="B351" i="27"/>
  <c r="C350" i="27"/>
  <c r="B350" i="27"/>
  <c r="B349" i="27"/>
  <c r="C348" i="27"/>
  <c r="B348" i="27"/>
  <c r="C347" i="27"/>
  <c r="B347" i="27"/>
  <c r="B346" i="27"/>
  <c r="C345" i="27"/>
  <c r="B345" i="27"/>
  <c r="B344" i="27"/>
  <c r="B343" i="27"/>
  <c r="C341" i="27"/>
  <c r="C338" i="27"/>
  <c r="B338" i="27"/>
  <c r="C337" i="27"/>
  <c r="B337" i="27"/>
  <c r="C336" i="27"/>
  <c r="B336" i="27"/>
  <c r="C335" i="27"/>
  <c r="B335" i="27"/>
  <c r="C334" i="27"/>
  <c r="B334" i="27"/>
  <c r="C333" i="27"/>
  <c r="B333" i="27"/>
  <c r="B332" i="27"/>
  <c r="B330" i="27"/>
  <c r="B328" i="27"/>
  <c r="C326" i="27"/>
  <c r="C325" i="27"/>
  <c r="C324" i="27"/>
  <c r="B323" i="27"/>
  <c r="C321" i="27"/>
  <c r="B321" i="27"/>
  <c r="C320" i="27"/>
  <c r="B320" i="27"/>
  <c r="C319" i="27"/>
  <c r="B319" i="27"/>
  <c r="C318" i="27"/>
  <c r="B318" i="27"/>
  <c r="C317" i="27"/>
  <c r="B317" i="27"/>
  <c r="C316" i="27"/>
  <c r="B316" i="27"/>
  <c r="C315" i="27"/>
  <c r="B315" i="27"/>
  <c r="B313" i="27"/>
  <c r="B311" i="27"/>
  <c r="C310" i="27"/>
  <c r="B310" i="27"/>
  <c r="B309" i="27"/>
  <c r="C306" i="27"/>
  <c r="B306" i="27"/>
  <c r="C304" i="27"/>
  <c r="B304" i="27"/>
  <c r="C303" i="27"/>
  <c r="B303" i="27"/>
  <c r="C302" i="27"/>
  <c r="B302" i="27"/>
  <c r="C301" i="27"/>
  <c r="B301" i="27"/>
  <c r="C300" i="27"/>
  <c r="B300" i="27"/>
  <c r="C299" i="27"/>
  <c r="B299" i="27"/>
  <c r="C298" i="27"/>
  <c r="B298" i="27"/>
  <c r="C297" i="27"/>
  <c r="B297" i="27"/>
  <c r="C296" i="27"/>
  <c r="B296" i="27"/>
  <c r="C295" i="27"/>
  <c r="B295" i="27"/>
  <c r="C294" i="27"/>
  <c r="B294" i="27"/>
  <c r="C293" i="27"/>
  <c r="B293" i="27"/>
  <c r="C292" i="27"/>
  <c r="B292" i="27"/>
  <c r="C291" i="27"/>
  <c r="B291" i="27"/>
  <c r="C290" i="27"/>
  <c r="B290" i="27"/>
  <c r="C289" i="27"/>
  <c r="B289" i="27"/>
  <c r="C288" i="27"/>
  <c r="B288" i="27"/>
  <c r="C287" i="27"/>
  <c r="B287" i="27"/>
  <c r="C286" i="27"/>
  <c r="B286" i="27"/>
  <c r="C285" i="27"/>
  <c r="B285" i="27"/>
  <c r="C284" i="27"/>
  <c r="B284" i="27"/>
  <c r="C283" i="27"/>
  <c r="B283" i="27"/>
  <c r="C282" i="27"/>
  <c r="B282" i="27"/>
  <c r="C281" i="27"/>
  <c r="B281" i="27"/>
  <c r="C280" i="27"/>
  <c r="B280" i="27"/>
  <c r="C279" i="27"/>
  <c r="B279" i="27"/>
  <c r="C278" i="27"/>
  <c r="B278" i="27"/>
  <c r="C277" i="27"/>
  <c r="B277" i="27"/>
  <c r="C276" i="27"/>
  <c r="B276" i="27"/>
  <c r="B275" i="27"/>
  <c r="C274" i="27"/>
  <c r="B274" i="27"/>
  <c r="C273" i="27"/>
  <c r="B273" i="27"/>
  <c r="C272" i="27"/>
  <c r="B272" i="27"/>
  <c r="B271" i="27"/>
  <c r="C270" i="27"/>
  <c r="B270" i="27"/>
  <c r="C269" i="27"/>
  <c r="B269" i="27"/>
  <c r="B268" i="27"/>
  <c r="C267" i="27"/>
  <c r="B267" i="27"/>
  <c r="B265" i="27"/>
  <c r="B264" i="27"/>
  <c r="B262" i="27"/>
  <c r="B260" i="27"/>
  <c r="B259" i="27"/>
  <c r="B258" i="27"/>
  <c r="B257" i="27"/>
  <c r="B256" i="27"/>
  <c r="B255" i="27"/>
  <c r="B254" i="27"/>
  <c r="B253" i="27"/>
  <c r="B252" i="27"/>
  <c r="B251" i="27"/>
  <c r="B250" i="27"/>
  <c r="B249" i="27"/>
  <c r="B248" i="27"/>
  <c r="B247" i="27"/>
  <c r="B246" i="27"/>
  <c r="B245" i="27"/>
  <c r="B244" i="27"/>
  <c r="B243" i="27"/>
  <c r="B242" i="27"/>
  <c r="B241" i="27"/>
  <c r="B240" i="27"/>
  <c r="B239" i="27"/>
  <c r="B238" i="27"/>
  <c r="B237" i="27"/>
  <c r="B236" i="27"/>
  <c r="B235" i="27"/>
  <c r="B234" i="27"/>
  <c r="B233" i="27"/>
  <c r="B232" i="27"/>
  <c r="B231" i="27"/>
  <c r="B230" i="27"/>
  <c r="B229" i="27"/>
  <c r="B228" i="27"/>
  <c r="B227" i="27"/>
  <c r="B224" i="27"/>
  <c r="B223" i="27"/>
  <c r="B222" i="27"/>
  <c r="B220" i="27"/>
  <c r="B219" i="27"/>
  <c r="B218" i="27"/>
  <c r="B217" i="27"/>
  <c r="C215" i="27"/>
  <c r="B214" i="27"/>
  <c r="B213" i="27"/>
  <c r="B212" i="27"/>
  <c r="B211" i="27"/>
  <c r="C209" i="27"/>
  <c r="B206" i="27"/>
  <c r="B205" i="27"/>
  <c r="B204" i="27"/>
  <c r="B203" i="27"/>
  <c r="B202" i="27"/>
  <c r="B201" i="27"/>
  <c r="B200" i="27"/>
  <c r="B199" i="27"/>
  <c r="C195" i="27"/>
  <c r="B195" i="27"/>
  <c r="C194" i="27"/>
  <c r="B194" i="27"/>
  <c r="C193" i="27"/>
  <c r="C191" i="27"/>
  <c r="B191" i="27"/>
  <c r="C190" i="27"/>
  <c r="B190" i="27"/>
  <c r="C189" i="27"/>
  <c r="B189" i="27"/>
  <c r="C186" i="27"/>
  <c r="B186" i="27"/>
  <c r="C184" i="27"/>
  <c r="B184" i="27"/>
  <c r="C183" i="27"/>
  <c r="B183" i="27"/>
  <c r="C182" i="27"/>
  <c r="B182" i="27"/>
  <c r="C181" i="27"/>
  <c r="B181" i="27"/>
  <c r="C180" i="27"/>
  <c r="B180" i="27"/>
  <c r="C179" i="27"/>
  <c r="B179" i="27"/>
  <c r="C178" i="27"/>
  <c r="B178" i="27"/>
  <c r="C177" i="27"/>
  <c r="B177" i="27"/>
  <c r="C176" i="27"/>
  <c r="B176" i="27"/>
  <c r="C175" i="27"/>
  <c r="B175" i="27"/>
  <c r="C174" i="27"/>
  <c r="B174" i="27"/>
  <c r="C173" i="27"/>
  <c r="B173" i="27"/>
  <c r="C172" i="27"/>
  <c r="B172" i="27"/>
  <c r="C171" i="27"/>
  <c r="B171" i="27"/>
  <c r="C170" i="27"/>
  <c r="B170" i="27"/>
  <c r="C169" i="27"/>
  <c r="B169" i="27"/>
  <c r="C168" i="27"/>
  <c r="B168" i="27"/>
  <c r="C167" i="27"/>
  <c r="B167" i="27"/>
  <c r="C166" i="27"/>
  <c r="B166" i="27"/>
  <c r="C165" i="27"/>
  <c r="B165" i="27"/>
  <c r="C164" i="27"/>
  <c r="B164" i="27"/>
  <c r="C163" i="27"/>
  <c r="B163" i="27"/>
  <c r="C162" i="27"/>
  <c r="B162" i="27"/>
  <c r="C161" i="27"/>
  <c r="B161" i="27"/>
  <c r="C160" i="27"/>
  <c r="B160" i="27"/>
  <c r="C159" i="27"/>
  <c r="B159" i="27"/>
  <c r="C158" i="27"/>
  <c r="B158" i="27"/>
  <c r="C157" i="27"/>
  <c r="B157" i="27"/>
  <c r="C156" i="27"/>
  <c r="B156" i="27"/>
  <c r="C155" i="27"/>
  <c r="B155" i="27"/>
  <c r="B154" i="27"/>
  <c r="C153" i="27"/>
  <c r="B153" i="27"/>
  <c r="C152" i="27"/>
  <c r="B152" i="27"/>
  <c r="B151" i="27"/>
  <c r="C150" i="27"/>
  <c r="B150" i="27"/>
  <c r="C148" i="27"/>
  <c r="B148" i="27"/>
  <c r="C146" i="27"/>
  <c r="B146" i="27"/>
  <c r="C145" i="27"/>
  <c r="B145" i="27"/>
  <c r="C144" i="27"/>
  <c r="B144" i="27"/>
  <c r="C143" i="27"/>
  <c r="B143" i="27"/>
  <c r="C142" i="27"/>
  <c r="B142" i="27"/>
  <c r="C141" i="27"/>
  <c r="B141" i="27"/>
  <c r="C140" i="27"/>
  <c r="B140" i="27"/>
  <c r="C139" i="27"/>
  <c r="B139" i="27"/>
  <c r="C138" i="27"/>
  <c r="B138" i="27"/>
  <c r="C137" i="27"/>
  <c r="B137" i="27"/>
  <c r="C136" i="27"/>
  <c r="B136" i="27"/>
  <c r="C135" i="27"/>
  <c r="B135" i="27"/>
  <c r="C134" i="27"/>
  <c r="B134" i="27"/>
  <c r="C133" i="27"/>
  <c r="B133" i="27"/>
  <c r="C132" i="27"/>
  <c r="B132" i="27"/>
  <c r="C131" i="27"/>
  <c r="B131" i="27"/>
  <c r="C130" i="27"/>
  <c r="B130" i="27"/>
  <c r="C129" i="27"/>
  <c r="B129" i="27"/>
  <c r="C128" i="27"/>
  <c r="B128" i="27"/>
  <c r="C127" i="27"/>
  <c r="B127" i="27"/>
  <c r="C126" i="27"/>
  <c r="B126" i="27"/>
  <c r="C125" i="27"/>
  <c r="B125" i="27"/>
  <c r="C124" i="27"/>
  <c r="B124" i="27"/>
  <c r="C123" i="27"/>
  <c r="B123" i="27"/>
  <c r="C122" i="27"/>
  <c r="B122" i="27"/>
  <c r="C121" i="27"/>
  <c r="B121" i="27"/>
  <c r="C120" i="27"/>
  <c r="B120" i="27"/>
  <c r="C119" i="27"/>
  <c r="B119" i="27"/>
  <c r="C118" i="27"/>
  <c r="B118" i="27"/>
  <c r="C117" i="27"/>
  <c r="B117" i="27"/>
  <c r="B116" i="27"/>
  <c r="C115" i="27"/>
  <c r="B115" i="27"/>
  <c r="C114" i="27"/>
  <c r="B114" i="27"/>
  <c r="B113" i="27"/>
  <c r="C112" i="27"/>
  <c r="B112" i="27"/>
  <c r="C109" i="27"/>
  <c r="B109" i="27"/>
  <c r="C107" i="27"/>
  <c r="B107" i="27"/>
  <c r="C106" i="27"/>
  <c r="B106" i="27"/>
  <c r="C105" i="27"/>
  <c r="B105" i="27"/>
  <c r="C104" i="27"/>
  <c r="B104" i="27"/>
  <c r="C103" i="27"/>
  <c r="B103" i="27"/>
  <c r="C102" i="27"/>
  <c r="B102" i="27"/>
  <c r="C101" i="27"/>
  <c r="B101" i="27"/>
  <c r="C100" i="27"/>
  <c r="B100" i="27"/>
  <c r="C99" i="27"/>
  <c r="B99" i="27"/>
  <c r="C98" i="27"/>
  <c r="B98" i="27"/>
  <c r="C97" i="27"/>
  <c r="B97" i="27"/>
  <c r="C96" i="27"/>
  <c r="B96" i="27"/>
  <c r="C95" i="27"/>
  <c r="B95" i="27"/>
  <c r="C94" i="27"/>
  <c r="B94" i="27"/>
  <c r="C93" i="27"/>
  <c r="B93" i="27"/>
  <c r="C92" i="27"/>
  <c r="B92" i="27"/>
  <c r="C91" i="27"/>
  <c r="B91" i="27"/>
  <c r="C90" i="27"/>
  <c r="B90" i="27"/>
  <c r="C89" i="27"/>
  <c r="B89" i="27"/>
  <c r="C88" i="27"/>
  <c r="B88" i="27"/>
  <c r="C87" i="27"/>
  <c r="B87" i="27"/>
  <c r="C86" i="27"/>
  <c r="B86" i="27"/>
  <c r="C85" i="27"/>
  <c r="B85" i="27"/>
  <c r="C84" i="27"/>
  <c r="B84" i="27"/>
  <c r="C83" i="27"/>
  <c r="B83" i="27"/>
  <c r="C82" i="27"/>
  <c r="B82" i="27"/>
  <c r="C81" i="27"/>
  <c r="B81" i="27"/>
  <c r="C80" i="27"/>
  <c r="B80" i="27"/>
  <c r="C79" i="27"/>
  <c r="B79" i="27"/>
  <c r="C78" i="27"/>
  <c r="B78" i="27"/>
  <c r="B77" i="27"/>
  <c r="C76" i="27"/>
  <c r="B76" i="27"/>
  <c r="C75" i="27"/>
  <c r="B75" i="27"/>
  <c r="B74" i="27"/>
  <c r="C73" i="27"/>
  <c r="B73" i="27"/>
  <c r="B71" i="27"/>
  <c r="B70" i="27"/>
  <c r="B68" i="27"/>
  <c r="B67" i="27"/>
  <c r="B66" i="27"/>
  <c r="B65" i="27"/>
  <c r="B64" i="27"/>
  <c r="B63" i="27"/>
  <c r="B62" i="27"/>
  <c r="C61" i="27"/>
  <c r="B61" i="27"/>
  <c r="C59" i="27"/>
  <c r="B59" i="27"/>
  <c r="C58" i="27"/>
  <c r="B58" i="27"/>
  <c r="C57" i="27"/>
  <c r="B57" i="27"/>
  <c r="C56" i="27"/>
  <c r="B56" i="27"/>
  <c r="C55" i="27"/>
  <c r="B55" i="27"/>
  <c r="C54" i="27"/>
  <c r="B54" i="27"/>
  <c r="C53" i="27"/>
  <c r="B53" i="27"/>
  <c r="C52" i="27"/>
  <c r="B52" i="27"/>
  <c r="C51" i="27"/>
  <c r="B51" i="27"/>
  <c r="C50" i="27"/>
  <c r="B50" i="27"/>
  <c r="C49" i="27"/>
  <c r="B49" i="27"/>
  <c r="C48" i="27"/>
  <c r="B48" i="27"/>
  <c r="C47" i="27"/>
  <c r="B47" i="27"/>
  <c r="C46" i="27"/>
  <c r="B46" i="27"/>
  <c r="C45" i="27"/>
  <c r="B45" i="27"/>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B29" i="27"/>
  <c r="B28" i="27"/>
  <c r="B27" i="27"/>
  <c r="B26" i="27"/>
  <c r="C25" i="27"/>
  <c r="B25" i="27"/>
  <c r="C24" i="27"/>
  <c r="B24" i="27"/>
  <c r="C23" i="27"/>
  <c r="B23" i="27"/>
  <c r="B22" i="27"/>
  <c r="B21" i="27"/>
  <c r="B20" i="27"/>
  <c r="B19" i="27"/>
  <c r="C18" i="27"/>
  <c r="B18" i="27"/>
  <c r="C17" i="27"/>
  <c r="B17" i="27"/>
  <c r="C16" i="27"/>
  <c r="B16" i="27"/>
  <c r="B15" i="27"/>
  <c r="B14" i="27"/>
  <c r="B13" i="27"/>
  <c r="C12" i="27"/>
  <c r="B12" i="27"/>
  <c r="C11" i="27"/>
  <c r="B11" i="27"/>
  <c r="B10" i="27"/>
  <c r="C9" i="27"/>
  <c r="B9" i="27"/>
  <c r="T7" i="27"/>
  <c r="S7" i="27"/>
  <c r="B6" i="27"/>
  <c r="B2" i="27"/>
  <c r="K69" i="27"/>
  <c r="C242" i="26"/>
  <c r="C241" i="26"/>
  <c r="C237" i="26"/>
  <c r="B237" i="26"/>
  <c r="C236" i="26"/>
  <c r="B236" i="26"/>
  <c r="B235" i="26"/>
  <c r="C233" i="26"/>
  <c r="B233" i="26"/>
  <c r="C232" i="26"/>
  <c r="B232" i="26"/>
  <c r="C231" i="26"/>
  <c r="B231" i="26"/>
  <c r="B229" i="26"/>
  <c r="C228" i="26"/>
  <c r="B225" i="26"/>
  <c r="B224" i="26"/>
  <c r="B223" i="26"/>
  <c r="B222" i="26"/>
  <c r="B221" i="26"/>
  <c r="C220" i="26"/>
  <c r="B220" i="26"/>
  <c r="C219" i="26"/>
  <c r="B218" i="26"/>
  <c r="C217" i="26"/>
  <c r="B217" i="26"/>
  <c r="B216" i="26"/>
  <c r="C214" i="26"/>
  <c r="B214" i="26"/>
  <c r="C212" i="26"/>
  <c r="B212" i="26"/>
  <c r="C211" i="26"/>
  <c r="B211" i="26"/>
  <c r="C210" i="26"/>
  <c r="B210" i="26"/>
  <c r="C209" i="26"/>
  <c r="B209" i="26"/>
  <c r="B208" i="26"/>
  <c r="C207" i="26"/>
  <c r="B207" i="26"/>
  <c r="C206" i="26"/>
  <c r="B206" i="26"/>
  <c r="C205" i="26"/>
  <c r="B205" i="26"/>
  <c r="C204" i="26"/>
  <c r="B204" i="26"/>
  <c r="C203" i="26"/>
  <c r="B203" i="26"/>
  <c r="C202" i="26"/>
  <c r="B202" i="26"/>
  <c r="B201" i="26"/>
  <c r="C200" i="26"/>
  <c r="B200" i="26"/>
  <c r="C199" i="26"/>
  <c r="B199" i="26"/>
  <c r="B198" i="26"/>
  <c r="C197" i="26"/>
  <c r="B197" i="26"/>
  <c r="B195" i="26"/>
  <c r="B194" i="26"/>
  <c r="B193" i="26"/>
  <c r="B192" i="26"/>
  <c r="B191" i="26"/>
  <c r="C189" i="26"/>
  <c r="C188" i="26"/>
  <c r="B188" i="26"/>
  <c r="C187" i="26"/>
  <c r="B187" i="26"/>
  <c r="B186" i="26"/>
  <c r="C185" i="26"/>
  <c r="B185" i="26"/>
  <c r="C184" i="26"/>
  <c r="B184" i="26"/>
  <c r="C182" i="26"/>
  <c r="C180" i="26"/>
  <c r="B180" i="26"/>
  <c r="C179" i="26"/>
  <c r="B179" i="26"/>
  <c r="C178" i="26"/>
  <c r="B178" i="26"/>
  <c r="C177" i="26"/>
  <c r="B177" i="26"/>
  <c r="B176" i="26"/>
  <c r="C175" i="26"/>
  <c r="B175" i="26"/>
  <c r="C174" i="26"/>
  <c r="B174" i="26"/>
  <c r="C173" i="26"/>
  <c r="B173" i="26"/>
  <c r="C172" i="26"/>
  <c r="B172" i="26"/>
  <c r="B171" i="26"/>
  <c r="C170" i="26"/>
  <c r="B170" i="26"/>
  <c r="C169" i="26"/>
  <c r="B169" i="26"/>
  <c r="B168" i="26"/>
  <c r="C167" i="26"/>
  <c r="B167" i="26"/>
  <c r="B164" i="26"/>
  <c r="B163" i="26"/>
  <c r="B162" i="26"/>
  <c r="B161" i="26"/>
  <c r="B159" i="26"/>
  <c r="C158" i="26"/>
  <c r="B158" i="26"/>
  <c r="C157" i="26"/>
  <c r="B157" i="26"/>
  <c r="C156" i="26"/>
  <c r="B156" i="26"/>
  <c r="C155" i="26"/>
  <c r="B155" i="26"/>
  <c r="C154" i="26"/>
  <c r="B154" i="26"/>
  <c r="C153" i="26"/>
  <c r="B153" i="26"/>
  <c r="C152" i="26"/>
  <c r="B152" i="26"/>
  <c r="C151" i="26"/>
  <c r="B151" i="26"/>
  <c r="C150" i="26"/>
  <c r="B150" i="26"/>
  <c r="C149" i="26"/>
  <c r="B149" i="26"/>
  <c r="C148" i="26"/>
  <c r="B148" i="26"/>
  <c r="C147" i="26"/>
  <c r="B147" i="26"/>
  <c r="C146" i="26"/>
  <c r="B146" i="26"/>
  <c r="C145" i="26"/>
  <c r="B145" i="26"/>
  <c r="C144" i="26"/>
  <c r="B144" i="26"/>
  <c r="C143" i="26"/>
  <c r="B143" i="26"/>
  <c r="C142" i="26"/>
  <c r="B142" i="26"/>
  <c r="C141" i="26"/>
  <c r="B141" i="26"/>
  <c r="C140" i="26"/>
  <c r="B140" i="26"/>
  <c r="C139" i="26"/>
  <c r="B139" i="26"/>
  <c r="C138" i="26"/>
  <c r="B138" i="26"/>
  <c r="C137" i="26"/>
  <c r="B137" i="26"/>
  <c r="C136" i="26"/>
  <c r="B136" i="26"/>
  <c r="C135" i="26"/>
  <c r="B135" i="26"/>
  <c r="C134" i="26"/>
  <c r="B134" i="26"/>
  <c r="C133" i="26"/>
  <c r="B133" i="26"/>
  <c r="C132" i="26"/>
  <c r="B132" i="26"/>
  <c r="C131" i="26"/>
  <c r="B131" i="26"/>
  <c r="C130" i="26"/>
  <c r="B130" i="26"/>
  <c r="C129" i="26"/>
  <c r="B129" i="26"/>
  <c r="B128" i="26"/>
  <c r="B127" i="26"/>
  <c r="C125" i="26"/>
  <c r="B125" i="26"/>
  <c r="C124" i="26"/>
  <c r="B124" i="26"/>
  <c r="C123" i="26"/>
  <c r="B123" i="26"/>
  <c r="C122" i="26"/>
  <c r="B122" i="26"/>
  <c r="C121" i="26"/>
  <c r="B121" i="26"/>
  <c r="C120" i="26"/>
  <c r="B120" i="26"/>
  <c r="C119" i="26"/>
  <c r="B119" i="26"/>
  <c r="B118" i="26"/>
  <c r="C117" i="26"/>
  <c r="B117" i="26"/>
  <c r="C116" i="26"/>
  <c r="B116" i="26"/>
  <c r="C115" i="26"/>
  <c r="B115" i="26"/>
  <c r="C114" i="26"/>
  <c r="B114" i="26"/>
  <c r="C113" i="26"/>
  <c r="B113" i="26"/>
  <c r="C112" i="26"/>
  <c r="B112" i="26"/>
  <c r="C111" i="26"/>
  <c r="B111" i="26"/>
  <c r="B110" i="26"/>
  <c r="C109" i="26"/>
  <c r="B109" i="26"/>
  <c r="B106" i="26"/>
  <c r="B105" i="26"/>
  <c r="B104" i="26"/>
  <c r="B103" i="26"/>
  <c r="B102" i="26"/>
  <c r="C93" i="26"/>
  <c r="C91" i="26"/>
  <c r="B91" i="26"/>
  <c r="C90" i="26"/>
  <c r="C89" i="26"/>
  <c r="B89" i="26"/>
  <c r="C88" i="26"/>
  <c r="B88" i="26"/>
  <c r="C87" i="26"/>
  <c r="B87" i="26"/>
  <c r="C86" i="26"/>
  <c r="B86" i="26"/>
  <c r="C85" i="26"/>
  <c r="B85" i="26"/>
  <c r="C84" i="26"/>
  <c r="B84" i="26"/>
  <c r="C83" i="26"/>
  <c r="B83" i="26"/>
  <c r="C82" i="26"/>
  <c r="B82" i="26"/>
  <c r="B81" i="26"/>
  <c r="C80" i="26"/>
  <c r="B80" i="26"/>
  <c r="C79" i="26"/>
  <c r="B79" i="26"/>
  <c r="B76" i="26"/>
  <c r="B75" i="26"/>
  <c r="B74" i="26"/>
  <c r="C72" i="26"/>
  <c r="B72" i="26"/>
  <c r="C69" i="26"/>
  <c r="B69" i="26"/>
  <c r="C67" i="26"/>
  <c r="B67" i="26"/>
  <c r="B65" i="26"/>
  <c r="B64" i="26"/>
  <c r="C61" i="26"/>
  <c r="B61" i="26"/>
  <c r="C60" i="26"/>
  <c r="B60" i="26"/>
  <c r="C59" i="26"/>
  <c r="B59" i="26"/>
  <c r="C58" i="26"/>
  <c r="B58" i="26"/>
  <c r="C57" i="26"/>
  <c r="B57" i="26"/>
  <c r="B56" i="26"/>
  <c r="B48" i="26"/>
  <c r="C43" i="26"/>
  <c r="B43" i="26"/>
  <c r="C42" i="26"/>
  <c r="B42" i="26"/>
  <c r="C41" i="26"/>
  <c r="B41" i="26"/>
  <c r="C40" i="26"/>
  <c r="B40" i="26"/>
  <c r="C39" i="26"/>
  <c r="B39" i="26"/>
  <c r="C38" i="26"/>
  <c r="B38" i="26"/>
  <c r="C37" i="26"/>
  <c r="B37" i="26"/>
  <c r="C36" i="26"/>
  <c r="B36" i="26"/>
  <c r="C35" i="26"/>
  <c r="B35" i="26"/>
  <c r="C46" i="26"/>
  <c r="B34" i="26"/>
  <c r="C53" i="26"/>
  <c r="C52" i="26"/>
  <c r="C33" i="26"/>
  <c r="B33" i="26"/>
  <c r="B29" i="26"/>
  <c r="B28" i="26"/>
  <c r="B20" i="26"/>
  <c r="B17" i="26"/>
  <c r="B16" i="26"/>
  <c r="C14" i="26"/>
  <c r="B14" i="26"/>
  <c r="B13" i="26"/>
  <c r="C12" i="26"/>
  <c r="B12" i="26"/>
  <c r="B11" i="26"/>
  <c r="C10" i="26"/>
  <c r="B10" i="26"/>
  <c r="B9" i="26"/>
  <c r="T7" i="26"/>
  <c r="S7" i="26"/>
  <c r="B2" i="26"/>
  <c r="C11" i="7"/>
  <c r="B44" i="24"/>
  <c r="B38" i="24"/>
  <c r="B36" i="24"/>
  <c r="B34" i="24"/>
  <c r="B25" i="24"/>
  <c r="B23" i="24"/>
  <c r="B18" i="24"/>
  <c r="C13" i="7"/>
  <c r="B58" i="24"/>
  <c r="B56" i="24"/>
  <c r="B55" i="24"/>
  <c r="B45" i="24"/>
  <c r="B52" i="24"/>
  <c r="B53" i="24"/>
  <c r="B51" i="24"/>
  <c r="B57" i="24"/>
  <c r="B50" i="24"/>
  <c r="B48" i="24"/>
  <c r="B49" i="24"/>
  <c r="B47" i="24"/>
  <c r="B43" i="24"/>
  <c r="B46" i="24"/>
  <c r="B54" i="24"/>
  <c r="B41" i="24"/>
  <c r="B42" i="24"/>
  <c r="B40" i="24"/>
  <c r="B39" i="24"/>
  <c r="B37" i="24"/>
  <c r="B19" i="24"/>
  <c r="B17" i="24"/>
  <c r="B33" i="24"/>
  <c r="B32" i="24"/>
  <c r="B24" i="24"/>
  <c r="B22" i="24"/>
  <c r="B21" i="24"/>
  <c r="B20" i="24"/>
  <c r="B15" i="24"/>
  <c r="B14" i="24"/>
  <c r="B13" i="24"/>
  <c r="B12" i="24"/>
  <c r="B11" i="24"/>
  <c r="B9" i="24"/>
  <c r="B8" i="24"/>
  <c r="B5" i="24"/>
  <c r="B2" i="24"/>
  <c r="C8" i="7"/>
  <c r="C10" i="7"/>
  <c r="C9" i="7"/>
  <c r="C6" i="7"/>
  <c r="C16" i="7"/>
  <c r="C18" i="7"/>
</calcChain>
</file>

<file path=xl/sharedStrings.xml><?xml version="1.0" encoding="utf-8"?>
<sst xmlns="http://schemas.openxmlformats.org/spreadsheetml/2006/main" count="3430" uniqueCount="249">
  <si>
    <t>%</t>
  </si>
  <si>
    <t>+7 (495) 730 60 13</t>
  </si>
  <si>
    <t>ir@novatek.ru</t>
  </si>
  <si>
    <t>n/a</t>
  </si>
  <si>
    <t>English</t>
  </si>
  <si>
    <t>Русский</t>
  </si>
  <si>
    <t>Language / Язык</t>
  </si>
  <si>
    <t xml:space="preserve">% </t>
  </si>
  <si>
    <t>Расчет косвенных энергетических выбросов (область охвата 2) произведен по методу, основанному на местоположении. Данный метод отражает среднюю интенсивность выбросов в сетях по региону, из которых осуществляется потребление электроэнергии.
Расчет произведен в соответствии с методологией «Концепция расчета и публикации коэффициентов выбросов парниковых газов энергосистемы РФ». Данная методология была разработана в 2022 году Ассоциацией «НП Совет рынка» и АО «АТС» и получила международное заключение о валидации.</t>
  </si>
  <si>
    <t>Потребление энергии рассчитывается как сумма закупленной энергии и обеспечивающей генерации за вычетом продажи и отпуска. При пересчете данных использовались следующие коэффициенты: 1 тыс. кВт*ч = 3,6 ГДж, 1 Гкал = 4,187 ГДж. При пересчете данных по потреблению топлива использовался коэффициент: 1 т.у.т. = 29,31 ГДж; 1 т.у.т. = 1 куб. м * 1,154.</t>
  </si>
  <si>
    <t>Расходы на реализацию мероприятий, связанных с охраной окружающей среды, включают расходы на реализацию природоохранных мероприятий и плату за негативное воздействие на окружающую среду.</t>
  </si>
  <si>
    <t>Поддержка лиц, относящихся в соответствии с Федеральным законом РФ «О ветеранах» к следующим категориям ветеранов: ветераны Великой Отечественной войны, ветераны боевых действий на территории СССР, на территории РФ и и территориях других государств, ветераны военной службы</t>
  </si>
  <si>
    <t>ссылка</t>
  </si>
  <si>
    <t>link</t>
  </si>
  <si>
    <t>В расчеты включены расходы по программе целевых компенсаций и социально-значимых выплат, по программе санаторно-курортного оздоровления, по программе, реализуемой на возвратной основе, по реабилитации детей сотрудников с ограниченными возможностями, по поддержке многодетных семей из дочерних обществ, воспитывающих 4 и более детей.</t>
  </si>
  <si>
    <t>В расчеты по работникам включены расходы на программу добровольного медицинского страхования работников, программу санаторно-курортного оздоровления и программу культурно-массовых и спортивных мероприятий.</t>
  </si>
  <si>
    <t>В расчеты по представителям местного населения включены расходы на проекты «Таргетная терапия», «Движение Детям», «Движение Врослым» ,«Нейродети», «Атмосфера» и «Академия здоровья».</t>
  </si>
  <si>
    <t>В расчеты включены расходы на проект «Высокотехнологичное оборудование».</t>
  </si>
  <si>
    <t>В расчеты включены расходы на поддержку детей (адресная благотворительная помощь детям и помощь приютам и коррекционным детским садам).</t>
  </si>
  <si>
    <t>В расчеты включены расходы на программу культурно-массовых и спортивных мероприятий для работников, а также проекты по поддержке мини-футбола, баскетбола, волейбола для местных жителей.</t>
  </si>
  <si>
    <t>В расходы на поддержку общеобразовательных организаций включены финансирование корпоративного ресурсного учебного центра на базе Тарко-Салинского колледжа, расходы на материально-техническую поддержку образовательных программ школ-интернатов, участие школьников в выездных мероприятиях.</t>
  </si>
  <si>
    <t>В расходы на поддержку организаций, реализующих программы среднего профессионального образования включены расходы на программу «Гранты» для школьников и учителей.</t>
  </si>
  <si>
    <t>В расходы на программы и мероприятия, направленные на профессиональную ориентацию детей и молодежи включены расходы на программу «Одаренные дети».</t>
  </si>
  <si>
    <t>В расходы на поддержку дополнительного образования для детей и молодежи включены расходы на организацию проектной, проектно-исследовательской деятельности, лекционных и практических занятий для детей и молодежи.</t>
  </si>
  <si>
    <t>В расчеты включены расходы на поддержку выставочной и просветительской деятельности.</t>
  </si>
  <si>
    <t>В расчеты включены расходы на восстановление мемориалов.</t>
  </si>
  <si>
    <t>В расчеты включены расходы на работы по строительству и материально-техническому оснащению объектов социальной инфраструктуры.</t>
  </si>
  <si>
    <t>Расходы на другие направления деятельности в сфере охраны окружающей среды включают затраты на экологический мониторинг, управленческие и прочие мероприятия.</t>
  </si>
  <si>
    <t>The calculations include Expenses on the High-Tech Equipment project.</t>
  </si>
  <si>
    <t>The calculations include Expenses on child support (targeted charitable aid to children and aid to orphanages and correctional kindergartens).</t>
  </si>
  <si>
    <t>The calculations include Expenses on the program of cultural and sports events for employees, as well as projects to support mini-football, basketball and volleyball for members of the local community.</t>
  </si>
  <si>
    <t>The calculations include Expenses on restoring memorials.</t>
  </si>
  <si>
    <t xml:space="preserve">The calculations include Expenses on construction and material and technical equipment of social infrastructure facilities. </t>
  </si>
  <si>
    <t>Indirect greenhouse gas emissions related to energy (Scope 2) are calculated using a location-based method. This method reflects the average emissions intensity in the grids of the region from which the electricity is consumed.
The calculation was made in accordance with the ‘Concept of calculation and publication of greenhouse gas emission factors of the Russian energy system’ methodology. This methodology was developed in 2022 by NP Market Council Association and ATS and received an international validation opinion.</t>
  </si>
  <si>
    <t>Energy consumption is calculated as the sum of purchased energy and supporting generation less sales and dispatch. The following coefficients were used to recalculate the data: 1 thousand kWh = 3.6 GJ, 1 Gcal = 4.187 GJ. When recalculating data on fuel consumption, the following coefficient was used: 1 toe = 29.31 GJ; 1 toe = 1 cubic metre * 1.154.</t>
  </si>
  <si>
    <t>Environmental expenses include Expenses on the implementation of activities related to environmental protection and Costs of compensation in the form of payment for negative environmental impact</t>
  </si>
  <si>
    <t>Expenses on other environmental activities include costs of environmental monitoring, management, and other activities.</t>
  </si>
  <si>
    <t>The environmentally significant incident recorded in 2018 was an oil product spill. Materiality thresholds for spills are determined based on the requirements of the Russian regulations and relevant local regulations of the Company: for water bodies, ≥ 0.5 tonnes; for land, ≥ 3 tonnes.</t>
  </si>
  <si>
    <t>Supporting persons  in the following veteran categories in accordance with the Federal Law of the Russian Federation ‘On Veterans’: veterans of the Great Patriotic War, veterans of combat operations in the USSR, the Russian Federation and other countries, veterans of military service</t>
  </si>
  <si>
    <t>The calculations include expenses on the program of targeted compensations and socially significant payments, the therapeutic resort treatment and rehabilitation program, the program implemented on a repayable basis, the rehabilitation of children of employees with disabilities, and support for large families from subsidiaries raising 4 or more children.</t>
  </si>
  <si>
    <t>The calculations for employees include Expenses on voluntary medical insurance program for employees, the therapeutic resort treatment and rehabilitation program, and the cultural and sporting events program.</t>
  </si>
  <si>
    <t>The calculations for members of the local community include Expenses of Target Therapy, Movement Kids, Movement Adults, Neurodeti, Atmosphere, and Health Academy projects.</t>
  </si>
  <si>
    <t>Expenses on supporting organizations implementing secondary vocational education programs include Expenses on the Grants program for schoolchildren and teachers.</t>
  </si>
  <si>
    <t>Expenses on supporting general education organizations include funding for the corporate resource training centre based at Tarko-Salinsk College; Expenses on material and technical support of educational programs at boarding schools, and participation of schoolchildren in field trips.</t>
  </si>
  <si>
    <t>Expenses on career guidance programs and activities for children and youth include Expenses on the Gifted Children program.</t>
  </si>
  <si>
    <t>Expenses on supporting additional education for children and youth include Expenses on organizing project, design and research activities, lectures and practical classes for children and young people.</t>
  </si>
  <si>
    <t>The calculations include Expenses on supporting exhibition and outreach activities.</t>
  </si>
  <si>
    <t>В расчеты включены расходы по Программе предоставления беспроцентных целевых займов на покупку жилья.</t>
  </si>
  <si>
    <t>The calculations include Expenses under the Interest-free special-purpose loan to purchase housing program.</t>
  </si>
  <si>
    <t>GRI 305-1
GRI 11.1.5</t>
  </si>
  <si>
    <t xml:space="preserve"> SASB EM-EP-110a.1</t>
  </si>
  <si>
    <t>IPIECA CCE-4</t>
  </si>
  <si>
    <t xml:space="preserve"> </t>
  </si>
  <si>
    <t>GRI 11.1.5</t>
  </si>
  <si>
    <t xml:space="preserve"> SASB EM-EP-110a.2</t>
  </si>
  <si>
    <t>IPIECA CCE-7</t>
  </si>
  <si>
    <t>GRI 305-2
GRI 11.1.6</t>
  </si>
  <si>
    <t>Indirect greenhouse gas emissions related to energy (Scope 2) are calculated using a location-based method. This method reflects the average intensity of emissions in the grids in the region from which electricity is consumed.
The calculation was made in accordance with the methodology ‘Concept of calculation and publication of greenhouse gas emission factors of the Russian energy system’. This methodology was developed in 2022 by NP Market Council Association and ATS and received an international validation opinion.</t>
  </si>
  <si>
    <t>GRI 305-3
GRI 11.1.7</t>
  </si>
  <si>
    <t>Расчет прочих косвенных выбросов парниковых газов (область охвата 3), относящиеся к добываемой продукции Компании, произведен с применением коэффициентов выбросов при использовании природного газа в качестве топлива, утвержденных приказом Минприроды России от 27 мая 2022 г. № 371 «Об утверждении методик количественного определения объемов выбросов парниковых газов и поглощений парниковых газов», а также с помощью Технического руководства расчета выбросов области охвата 3, версия 1.0 Протокола парниковых газов (GHG Protocol), при условии, что нефть и ШФЛУ направляются в переработку, а прочая добываемая продукция сжигается в качестве топлива, для категории 11 «Использование реализованной продукции» Руководства GHG Protocol.</t>
  </si>
  <si>
    <t>GRI 305-4
GRI 11.1.8</t>
  </si>
  <si>
    <t>Индекс GHG Intensity рассчитывается как отношение прочих косвенных выбросов парниковых газов (область охвата 3) от использования реализованной продукции к объему реализованной продукции. Для учета различных видов органического топлива (нефть и природный газ) их расход приводится к единому энергетическому эквиваленту — баррелю нефтяного эквивалента (бнэ).</t>
  </si>
  <si>
    <t>The GHG Intensity index is calculated as the ratio of other indirect greenhouse gas emissions (Scope 3) from the use of sold products to the volume of sold products. To account for different types of fossil fuels (oil and natural gas), their consumption is converted to a single energy equivalent, i. e. a barrel of oil equivalent (boe).</t>
  </si>
  <si>
    <t>GRI 305-5
GRI 11.2.3</t>
  </si>
  <si>
    <t>GRI 302-1
GRI 11.1.2</t>
  </si>
  <si>
    <t>IPIECA CCE-6</t>
  </si>
  <si>
    <t>GRI 302-4
GRI 302-5</t>
  </si>
  <si>
    <t>По причине некорректного перевода к унифицированным единицам измерения в категории «Бутановая фракция»  были уточнены значения за 2019-2022 годы. В соответствии с произведенными обновлениями значения итогового показателя «Расход топлива из невозобновляемых источников», в который входит значение категории «Бутановая фракция»,  были скорректированы за 2019-2022 годы.</t>
  </si>
  <si>
    <t>Due to incorrect conversion to unified units of measurement in the category «Butane fraction», the values for 2019-2022 have been updated. In accordance with the updates made, the values of the total indicator «Fuel consumption from non-renewable sources», which includes the value of the Butane fraction category, were adjusted for 2019-2022.</t>
  </si>
  <si>
    <t>GRI 302-3
GRI 11.1.4</t>
  </si>
  <si>
    <t>Сокращение удельного потребления электроэнергии от процесса добычи нефти в 2024 году обусловлено вводом Харбейского месторождения в разработку.</t>
  </si>
  <si>
    <t>Reduction of specific electricity consumption from the oil production process in 2024 is due to commissioning of the Kharbeyskoye field for development.</t>
  </si>
  <si>
    <t>Рост показателя удельного потребления электроэнергии от процесса переработки конденсата в 2024 году связан с внедрением технологии гидрокрекинга.</t>
  </si>
  <si>
    <t>The increase in specific electricity consumption from condensate processing in 2024 is due to the introduction of hydrocracking technology.</t>
  </si>
  <si>
    <t>С 2024 года в расчет показателя удельного потребления электроэнергии от процесса сжижения газа помимо значения по производству и отгрузке СПГ и конденсата ОАО «Ямал СПГ» включены производство и отгрузка СПГ ООО «Криогаз Высоцк». Показатели за предыдущие годы были пересчитаны.</t>
  </si>
  <si>
    <t>Starting from 2024, the calculation of specific electricity consumption from the gas liquefaction process includes production and shipment of LNG and condensate by JSC Yamal LNG in addition to the LNG production and shipment by LLC Cryogas Vysotsk. Figures for the prior years have been restated.</t>
  </si>
  <si>
    <t>GRI 11.2.2</t>
  </si>
  <si>
    <t>SASB EM-EP-420a.3</t>
  </si>
  <si>
    <t>Доля инвестиций в ВИЭ рассчитана от общего объема инвестиций обществ Группы компаний, которые осуществляли инвестиции в ВИЭ в отчетном году (ООО «НОВАТЭК-ТАРКОСАЛЕНЕФТЕГАЗ», ООО «ЯРГЕО», ООО «Обский ГХК», ООО «НОВАТЭК-ЮРХАРОВНЕФТЕГАЗ», АО «Арктикгаз», ООО «НОВАТЭК НТЦ», ООО «АРКТИК СПГ 1»). С 2024 года в периметр расчета показателя входит ООО «НОВАТЭК-Кострома».</t>
  </si>
  <si>
    <t>The share of investments in renewable energy sources is calculated from the total volume of investments of companies of the Group that invested in renewable energy sources in the reporting year (LLC NOVATEK-Tarkosaleneftegas, LLC YARGEO, LLC Obsky GHK, LLC NOVATEK-Yurkharovneftegas, JSC Arktikgaz, LLC NOVATEK NTC, LLC ARCTIC LNG 1). Starting from 2024, the indicator calculation perimeter includes LLC NOVATEK-Kostroma.</t>
  </si>
  <si>
    <t>Закупка по свободным двусторонним договорам (СДД) купли-продажи электрической энергии осуществлялась с объектов атомной и ветряной генерации. С 2024 отчетного года закупленная по такой схеме энергия не может признаваться энергией из ВИЭ без атрибутов в соответствии с Федеральным законом № 35-ФЗ «Об электроэнергетике». Объем закупленной энергии по СДД в 2024 г. составил 98 156 тыс. кВт*ч.</t>
  </si>
  <si>
    <t>Electricity under the free bilateral purchase agreements (BPAs) for the purchase and sale of electricity was procured from nuclear and wind power generation facilities. Starting from reporting year 2024, energy purchased under such a scheme cannot be recognised as RES energy without attributes in accordance with Federal Law No. 35 "On Electric Power Industry". The volume of energy purchased under BPAs in 2024 totalled 98,156 thousand kWh.</t>
  </si>
  <si>
    <t>SASB EM-EP-000.A</t>
  </si>
  <si>
    <t>GRI 11.8.4</t>
  </si>
  <si>
    <t>SASB EM-EP-160a.3</t>
  </si>
  <si>
    <t>SASB EM-EP-210a.1</t>
  </si>
  <si>
    <t>SASB EM-EP-210a.2</t>
  </si>
  <si>
    <t>SASB EM-EP000.B</t>
  </si>
  <si>
    <t>SASB EM-EP000.C</t>
  </si>
  <si>
    <t>GRI 404-2</t>
  </si>
  <si>
    <t>GRI 2-27</t>
  </si>
  <si>
    <t>SASB EM-EP-160a.2</t>
  </si>
  <si>
    <t>GRI 305-7
GRI 11.3.2</t>
  </si>
  <si>
    <t>SASB EM-EP-120a.1</t>
  </si>
  <si>
    <t>IPIECA ENV-5</t>
  </si>
  <si>
    <t>GRI 305-6</t>
  </si>
  <si>
    <t>GRI 306-3
GRI 11.5.4</t>
  </si>
  <si>
    <t>IPIECA ENV-7</t>
  </si>
  <si>
    <t>GRI 11.5.4</t>
  </si>
  <si>
    <t>GRI 306-4
GRI 11.5.5</t>
  </si>
  <si>
    <t>GRI 306-5
GRI 11.5.6</t>
  </si>
  <si>
    <t>GRI 303-3
GRI 11.6.4</t>
  </si>
  <si>
    <t>SASB. EM-EP-140a.1</t>
  </si>
  <si>
    <t>IPIECA ENV-1</t>
  </si>
  <si>
    <t>GRI  303-5
GRI  11.6.6</t>
  </si>
  <si>
    <t>GRI 303-4
GRI 11.6.5</t>
  </si>
  <si>
    <t>SASB. EM-EP-140a.2</t>
  </si>
  <si>
    <t>IPIECA ENV-2</t>
  </si>
  <si>
    <t>SASB. EM-EP-140a.2.</t>
  </si>
  <si>
    <t>GRI 304-4
GRI 11.4.5</t>
  </si>
  <si>
    <t>GRI 304-3
GRI 101-2
GRI 11.4.4</t>
  </si>
  <si>
    <t>GRI 304-3
GRI 11.4.4</t>
  </si>
  <si>
    <t>Audits by supervisory authorities include audits by the prosecutor's offices of the constituent entities of the Russian Federation, the Federal Service for Supervision of Natural Resources Management, executive authorities of the constituent entities of the Russian Federation, administrations of municipalities, and the Federal Agency for Fisheries.</t>
  </si>
  <si>
    <t>Проверки надзорными органами включают проверки прокуратур субъектов Российской Федерации, Федеральной службы по надзору в сфере природопользования, органов исполнительной власти субъектов Российской Федерации, администраций муниципальных образований, Федерального Агентства по рыболовству.</t>
  </si>
  <si>
    <t>The ratio of the organization's expenses on implementing environmental protection measures to revenue is calculated as the sum of expenses on all listed categories of environmental protection measures for the reporting period to revenue for the same period.</t>
  </si>
  <si>
    <t>Отношение расходов организации на реализацию мероприятий, связанных с охраной окружающей среды, к выручке рассчитывается как сумма затрат на все перечисленные категории мероприятий по охране окружающей среды за отчетный период к выручке за тот же период.</t>
  </si>
  <si>
    <t>The Percentage of payments for negative environmental impact in the total amount of the environmental expenses is calculated as the ratio of payments for negative environmental impact to the amount of expenses on environmental protection and payments for negative environmental impact.</t>
  </si>
  <si>
    <t>Доля платежей за негативное воздействие на окружающую среду в общем объеме расходов на окружающую среду рассчитывается как отношение платежей за негативное воздействие на окружающую среду к сумме расходов на охрану окружающей среды и платежей за негативное воздействие на окружающую среду.</t>
  </si>
  <si>
    <t>Damage compensation costs are calculated as the total amount of compensation for harm (damage) caused to the environment, individual components of the natural environment (land, water bodies, forests, wildlife, etc.) paid by the organization in the reporting period</t>
  </si>
  <si>
    <t>Затраты на компенсацию ущерба рассчитываются как общая сумма компенсации вреда (ущерба), причиненного окружающей среде, отдельным компонентам природной среды (землям, водным объектам, лесам, животному миру и др.), уплаченной организацией в отчетном периоде</t>
  </si>
  <si>
    <t>The amount of waste at the end of the year is calculated in accordance with Rosstat Order No. 627 of 09.10.2020 (as amended on 13.11.2020) and amounts to the sum of lines "Waste at the beginning of the year" and "Waste generated" less lines "Neutralization," "Landfill disposal," "Disposal", and "Waste transferred to the regional MSW operator."</t>
  </si>
  <si>
    <t>Расчет объемов отходов на конец года производится согласно Приказу Росстата от 09.10.2020 № 627 (ред. от 13.11.2020) и составляет сумму строк «Наличие отходов на начало года» и «Объем образованных отходов» за вычетом строк «Обезвреживание», «Захоронение на полигоне», «Утилизация» и «Отходы, переданные региональному оператору ТКО».</t>
  </si>
  <si>
    <t>GRI 2-7</t>
  </si>
  <si>
    <t>IPIECA SOC-5</t>
  </si>
  <si>
    <t>GRI 405-1
GRI 11.11.5</t>
  </si>
  <si>
    <t>GRI 405-1</t>
  </si>
  <si>
    <t>GRI 202-2
GRI 11.11.2
GRI 11.14.3</t>
  </si>
  <si>
    <t>IPIECA SOC-5
IPIECA SOC-15</t>
  </si>
  <si>
    <t>GRI 401-1</t>
  </si>
  <si>
    <t>IPIECA SOC-6</t>
  </si>
  <si>
    <t>GRI 2-30</t>
  </si>
  <si>
    <t>GRI 201-3</t>
  </si>
  <si>
    <t>В программу включены выплаты для поддержки семей работников, компенсации расходов на спортивно-оздоровительные занятия работников, переезд и обустройство жилья, материальную помощь в случае стихийных бедствий и прочих сложных жизненных ситуаций.</t>
  </si>
  <si>
    <t>The program includes payments to support the families of employees, compensation for expenses on sports and recreation activities of employees, relocation and accommodation, financial assistance in the event of natural disasters and other difficult life situations.</t>
  </si>
  <si>
    <t>GRI 401-3
GRI 11.10.4
GRI 11.11.3</t>
  </si>
  <si>
    <t>GRI 202-1</t>
  </si>
  <si>
    <t>-</t>
  </si>
  <si>
    <t>GRI 404-1
GRI 11.10.6
GRI 11.11.4</t>
  </si>
  <si>
    <t>IPIECA SOC-7</t>
  </si>
  <si>
    <t>GRI 404-3</t>
  </si>
  <si>
    <t>Для получения дополнительной информации см. Отчеты об устойчивом развитии за 2020-2024 гг. (глава "Персонал"). For more information, see Sustainability Reports 2020-2024 (chapter "Personnel").</t>
  </si>
  <si>
    <t>For more information, see Sustainability Reports 2020-2024 (chapter "Personnel"). For more information, see Sustainability Reports 2020-2024 (chapter "Personnel").</t>
  </si>
  <si>
    <t>IPIECA SOC-8</t>
  </si>
  <si>
    <t>GRI 403-9
GRI 11.9.10</t>
  </si>
  <si>
    <t>SASB EM-EP-320a.1</t>
  </si>
  <si>
    <t>IPIECA SHS-3</t>
  </si>
  <si>
    <t>Total recordable injury rate (TRIR) = Number of work-related injuries (including microtraumas) and fatalities x 1 million or 200,000 man-hours / Number of hours worked by all employees. First-aid-only cases are not taken into account when calculating the rate in accordance with GRI requirements.</t>
  </si>
  <si>
    <t>Коэффициент тяжелого травматизма = Количество пострадавших с тяжелыми травмами (без учета смертельных случаев) х 1 млн или 200 тыс. человеко-часов / Количество человеко-часов, отработанных всеми работниками.</t>
  </si>
  <si>
    <t>High-consequence work-related injuries rate = Number of high-consequence work-related injuries (excluding fatalities) x 1 million or 200,000 man-hours / Number of hours worked by all employees.</t>
  </si>
  <si>
    <t>Коэффициент частоты травм со смертельным исходом (FR) = Количество пострадавших со смертельным исходом х 1 млн или 200 тыс. человеко-часов / Количество человеко-часов, отработанных всеми работниками.</t>
  </si>
  <si>
    <t>Fatalities rate (FR) = Number of fatalities as a result of work-related injury x 1 million or 200,000 man-hours / Number of hours worked by all employees.</t>
  </si>
  <si>
    <t>Коэффициент частоты производственных травм с потерей трудоспособности (LTIFR) = Количество пострадавших от несчастных случаев (с учетом смертельных случаев) х 1 млн или 200 тыс. человеко-часов / Количество человеко-часов, отработанных всеми работниками.</t>
  </si>
  <si>
    <t>Lost time injury frequency rate (LTIFR) = Number of work-related lost time injuries (including fatalities) x 1 million or 200,000 man-hours / Number of hours worked by all employees.</t>
  </si>
  <si>
    <t xml:space="preserve">В соответствии со ст. 226 Трудового кодекса РФ под микроповреждениями (микротравмами) понимаются ссадины, кровоподтеки, ушибы мягких тканей, поверхностные раны и другие повреждения, не повлекшие расстройства здоровья или наступление временной нетрудоспособности. </t>
  </si>
  <si>
    <t>In accordance with Article 226 of the Labor Code of the Russian Federation, microinjuries (microtraumas) mean abrasions, contusions, soft-tissue bruises, superficial wounds, and other injuries that do not result in health impairment or temporary disability.</t>
  </si>
  <si>
    <t xml:space="preserve">При расчете количества регистрируемых производственных травм учитывается количество пострадавших и погибших при несчастных случаях, связанных с производством, а также случаи микроповреждений, при которых потребовалось оказание медицинской помощи квалифицированным медицинским персоналом.  </t>
  </si>
  <si>
    <t>When calculating the number of recordable work-related injuries, the number of people injured and fatalities in work-related accidents, as well as cases of microtraumas that required medical treatment by qualified medical personnel, are taken into account.</t>
  </si>
  <si>
    <t>GRI 403-10
GRI 11.9.11</t>
  </si>
  <si>
    <t>GRI 203-1
GRI 11.14.4
GRI 203-2
GRI 11.14.5</t>
  </si>
  <si>
    <t>IPIECA SOC-13</t>
  </si>
  <si>
    <t>GRI 411-1
GRI 11.17.2</t>
  </si>
  <si>
    <t>IPIECA SOC-12</t>
  </si>
  <si>
    <t>GRI 11.15.4</t>
  </si>
  <si>
    <t>IPIECA GOV-1</t>
  </si>
  <si>
    <t>GRI 2-26</t>
  </si>
  <si>
    <t>IPIECA SOC-14</t>
  </si>
  <si>
    <t>IPIECA SOC-2</t>
  </si>
  <si>
    <t>The value is based on the IFRS Disclosed Consolidated Financial Statements for 2024.</t>
  </si>
  <si>
    <t>← Back to Contents</t>
  </si>
  <si>
    <t>GRI 2-9
GRI 405-1</t>
  </si>
  <si>
    <t>GRI 2-9
 GRI 405-1</t>
  </si>
  <si>
    <t>GRI 204-1
GRI 11.14.6</t>
  </si>
  <si>
    <t>GRI 308-1
GRI 414-1
GRI 11.10.8
GRI 11.12.3</t>
  </si>
  <si>
    <t>GRI 414-2
GRI 11.10.9</t>
  </si>
  <si>
    <t>Тропин_ЭЮ (ОТиПБ)_Количественные_2024_KP 17.02.2025.XLSX</t>
  </si>
  <si>
    <t>Тропин_ЭЮ (ОТиПБ)_Количественные_2024_KP 17.02.2025.XLSX + корректировки к своду ОУР-2023</t>
  </si>
  <si>
    <t>Тропин_ЭЮ (ОТиПБ)_Количественные_2024_KP 17.02.2025.XLSX + корректировки к своду ОУР-2024</t>
  </si>
  <si>
    <t>Тропин_ЭЮ (ОТиПБ)_Количественные_2024_KP 17.02.2025.XLSX + корректировки к своду ОУР-2025</t>
  </si>
  <si>
    <t>Тропин_ЭЮ (ОТиПБ)_Количественные_2024_KP 17.02.2025.XLSX + корректировки к своду ОУР-2026</t>
  </si>
  <si>
    <t>Расходы_для ОУР 2024_kept_2.0.xlsx</t>
  </si>
  <si>
    <t>Рассчитано Kept (т.к. в ФСД некорректная формула)</t>
  </si>
  <si>
    <t>Рассчитано Kept (как сумма микротравм, легких, тяжелых и смертельных травм)</t>
  </si>
  <si>
    <t>Рассчитано Kept (как разница между общим количеством пострадавших и погибших и количеством смертельных и тяжелых травм)</t>
  </si>
  <si>
    <t>Да</t>
  </si>
  <si>
    <t xml:space="preserve">Scope 3 greenhouse gas emissions related to the Company's extracted products are calculated using emission factors for the use of natural gas as fuel approved by Order of the Ministry of Natural Resources and Environment of the Russian Federation No. 371 dated 27 May 2022 "On Approval of Methods for Quantifying Greenhouse Gas Emissions and Greenhouse Gas Sinks", as well as using the Technical Guidelines for Calculating Scope 3 Emissions, version 1.0 of the Greenhouse Gas Protocol (GHG Protocol), assuming that oil and NGLs are sent for processing, and that other extracted products are incinerated as a fuel, for category 11 «Use of finished products» of the GHG Protocol Guidelines. </t>
  </si>
  <si>
    <t>n/d</t>
  </si>
  <si>
    <t>IPIECA CCE-5</t>
  </si>
  <si>
    <t xml:space="preserve">Удельные выбросы парниковых газов в сегменте добычи рассчитаны как отношение валовых выбросов парниковых газов (области охвата 1 и 2) в сегменте добычи к годовому объему добычи углеводородов в соответствии с методикой OGCI. Сегмент добычи также включает разведку углеводородов. </t>
  </si>
  <si>
    <t xml:space="preserve">Удельные выбросы метана расчитаны как отношение валовых выбросов метана к годовому объему реализации природного газа в соответствии с методикой OGCI. </t>
  </si>
  <si>
    <t xml:space="preserve">Удельные выбросы парниковых газов расчитаны как отношение валовых выбросов парниковых газов (области охвата 1, 2 и 3) на протяжении всего жизненного цикла продукта от добычи сырья до использования его потребителем к годовому объему производства продукции, выраженному в энергетических единицах (МДж). В расчете используются коэффициенты API Compendium, учитывается категория 11 прочих косвенных выбросов парниковых газов (область охвата 3). </t>
  </si>
  <si>
    <t>The specific greenhouse gas emissions in the production segment are calculated as the ratio of gross greenhouse gas emissions (coverage areas 1 and 2) in the production segment to the annual volume of hydrocarbon production in accordance with the OGCI methodology. The production segment also includes hydrocarbon exploration.</t>
  </si>
  <si>
    <t>Specific greenhouse gas emissions are calculated as the ratio of gross greenhouse gas emissions (coverage areas 1, 2, and 3) over the entire product lifecycle from extraction of raw materials to consumer use to annual output expressed in energy units (MJ). The calculation uses API Compendium coefficients, and takes into account category 11 of other indirect greenhouse gas emissions (scope 3).</t>
  </si>
  <si>
    <t>Specific methane emissions are calculated as the ratio of gross methane emissions to annual natural gas sales in accordance with the OGCI methodology.</t>
  </si>
  <si>
    <t>В рамках Корпоративной системы оценки технических компетенций и в рамках программы «Шаги к раскрытию талантов»</t>
  </si>
  <si>
    <t>As part of the Corporate Technical Competence Assessment System and the Steps in Discovering Talents program</t>
  </si>
  <si>
    <t>Для синхронизации подходов с консолидированной финансовой отчетностью в 2025 году Компания пересмотрела подход к расчету показателей и произвела пересчет показателей за 2023, 2024 и 2025 годы. Показатели раскрыты пропорционально доле владения Группы в совместных предприятиях (периметр 2).</t>
  </si>
  <si>
    <t>To align its approaches with the consolidated financial statements in 2025, the Company revised its approach to calculating indicators and recalculated the indicators for 2023, 2024, and 2025. The indicators are disclosed in proportion to the Group's ownership interest in joint ventures (perimeter 2).</t>
  </si>
  <si>
    <t>Исчезающие</t>
  </si>
  <si>
    <t>Пороги существенности разливов определяются на основе требований нормативно-правовых актов РФ и соответствующих локальных нормативных актов Компании:  для водных объектов – ≥0,5 тонны, для суши – ≥3 тонны.</t>
  </si>
  <si>
    <t>Amount of the one-time payment (including in the form of financial assistance) to employees after a birth of a child paid during the first year after the birth of the child</t>
  </si>
  <si>
    <t>Размер единовременной выплаты (в том числе в виде материальной помощи), осуществляемой работникам при рождении ребенка, выплачиваемой в течение первого года после рождения ребенка</t>
  </si>
  <si>
    <t>Сумма удовлетворенных требований по судебным спорам с участием эмитента в качестве ответчика</t>
  </si>
  <si>
    <t>Сумма штрафов, наложенных на организацию и должностных лиц в связи с нарушением требований законодательства Российской Федерации об акционерных обществах и ценных бумагах, в сфере корпоративных отношений в акционерных обществах</t>
  </si>
  <si>
    <t>по делам о предъявлении требований к действующему или бывшему членам органов управления эмитента</t>
  </si>
  <si>
    <t>по делам об оспаривании сделок по статьям 173 и 174 Гражданского кодекса Российской Федерации</t>
  </si>
  <si>
    <t>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t>
  </si>
  <si>
    <t>Сумма заявленных требований по судебным спорам с участием эмитента в качестве ответчика</t>
  </si>
  <si>
    <t>Amount of claims under lawsuits filed against the issuer as a defendant</t>
  </si>
  <si>
    <t>Under lawsuits against current or former members of the issuer’s management bodies</t>
  </si>
  <si>
    <t>Under lawsuits challenging transactions in accordance with Articles 1731 and 174 of the Civil Code of the Russian Federation</t>
  </si>
  <si>
    <t>Under lawsuits challenging resolutions of the issuer’s management bodies, as well as disputes involving the issuer in other lawsuits related to violation of corporate laws</t>
  </si>
  <si>
    <t>Amount of satisfied claims under lawsuits involving the issuer as a defendant</t>
  </si>
  <si>
    <t>Amount of fines imposed on the organisation and its officers for violation of the laws of the Russian Federation on joint-stock companies and securities, and corporate relations in joint-stock companies</t>
  </si>
  <si>
    <t>The value is based on the IFRS Disclosed Consolidated Financial Statements for 2025.</t>
  </si>
  <si>
    <t>Объем инвестиций в проекты, связанные с достижением технологического суверенитета и структурной адаптацией экономики Российской Федерации</t>
  </si>
  <si>
    <t>Доля инвестиций в проекты, связанные с достижением технологического суверенитета и структурной адаптацией экономики РФ, в общем объеме инвестиций</t>
  </si>
  <si>
    <t>Amount of investments in projects related to the achievement of technological sovereignty and structural adaptation of the Russian economy</t>
  </si>
  <si>
    <t xml:space="preserve">Percentage of such investments in projects related to the achievement of technological sovereignty and structural adaptation of the Russian economy in total investments </t>
  </si>
  <si>
    <t>Отношение инвестиций организации в проекты, связанные с достижением технологического суверенитета и структурной адаптацией экономики Российской Федерации, к выручке</t>
  </si>
  <si>
    <t>Ratio of the organisation’s investments in projects related to the achievement of technological sovereignty and structural adaptation of the Russian economy to the organisation’s revenue</t>
  </si>
  <si>
    <t>Отношение инвестиций в проекты, связанные с достижением технологического суверенитета и структурной адаптацией экономики Российской Федерации, к выручке</t>
  </si>
  <si>
    <t>Ratio of the organisation’s investments in projects related to the achievement of technological sovereignty and structural adaptation of the Russian economy to revenue</t>
  </si>
  <si>
    <t>Перечень показателей Таксономии XBRL Банка России (версия 7.5.1.0) (для эмитентов)</t>
  </si>
  <si>
    <t>List of indicators of the XBRL Taxonomy of the Bank of Russia (version 7.5.1.0) (for issuers)</t>
  </si>
  <si>
    <t>В Отчете за 2025 год произведен пересчет показателя потребления энергии из ВИЭ за 2023 и 2024 годы пропорционально доле владения Группы в совместных предприятиях. Подробнее см. в Приложении 4, показатель GRI 2-4.</t>
  </si>
  <si>
    <t>В Отчете за 2025 год произведен пересчет показателя выработки электроэнергии из ВИЭ за 2023 и 2024 года пропорционально доле владения Группы в совместных предприятиях. Подробнее см в Приложении 4, показатель GRI 2-4.</t>
  </si>
  <si>
    <t>В Отчете за 2025 год произведен пересчет суммарного сокращения энергопотребления за 2023 и 2024 годы, а также потребления энергии за 2023 и 2024 годы пропорционально доле владения Группы в совместных предприятиях. Подробнее см. в Приложении 4, показатель GRI 2-4.</t>
  </si>
  <si>
    <t>The 2025 Report recalculates the total energy consumption reductions for 2023 and 2024, as well as the energy consumption for 2023 and 2024 proportionate to the Group's ownership stake in joint ventures. For more details, see Appendix 4, GRI 2-4.</t>
  </si>
  <si>
    <t>In the 2025 Report, the renewable energy consumption indicator for 2023 and 2024 has been recalculated proportionally to the Group's ownership stake in joint ventures. For more details, see Appendix 4, GRI 2-4.</t>
  </si>
  <si>
    <t>1 784</t>
  </si>
  <si>
    <t>GRI 11.4.4</t>
  </si>
  <si>
    <t>The 2025 Report recalculates the area of ​​disturbed and reclaimed land on the Company's enterprise sites for 2023 and 2024. The indicator boundaries have been expanded, and leased land has been added.</t>
  </si>
  <si>
    <t>Программа целевых компенсаций и социально значимых выплат направлена на оказание адресной материальной помощи работникам в определенных жизненных ситуациях, в т.ч. на поддержку многодетных семей. С 2025 года значение по поддержке многодетных семей включает также информацию по зависимым обществам</t>
  </si>
  <si>
    <t>The program of targeted compensation and socially significant payments is aimed at providing targeted financial assistance to employees in certain life situations, including support for large families. Starting in 2025, the scope of support for large families will also include information on dependent companies.</t>
  </si>
  <si>
    <t>Near miss frequency rate (NMFR) = Number of work-related near miss x 200,000 man-hours / Number of hours worked by all employees. Due to the lack of a unified methodology for calculating the indicator, the indicator was not calculated in the 2025.</t>
  </si>
  <si>
    <t>В расчеты включены расходы по подготовке новой трассы и проведение лыжного марафона в поселке Токсово.</t>
  </si>
  <si>
    <t>The calculations include Expenses on the preparation of a new track and holding a ski marathon in the village of Toksovo.</t>
  </si>
  <si>
    <t> Да</t>
  </si>
  <si>
    <t>Налоги и сборы включают налоги, кроме налога на прибыль, налог на добычу полезных ископаемых, налог на имущество, прочие налоги. Значение приведено на основании Раскрываемой консолидированной финансовой отчетности за 2025 год.</t>
  </si>
  <si>
    <t>Taxes and fees include taxes other than income tax, mineral extraction tax, property tax, other taxes. The value is based on the Disclosed Consolidated Financial Statements for 2025.</t>
  </si>
  <si>
    <t xml:space="preserve">Частота происшествий без последствий (NMFR) = Количество происшествий без последствий х 200 тыс. человеко-часов / Количество человеко-часов, отработанных всеми работниками. В 2025 году данные не консолидировались на уровне Группы. </t>
  </si>
  <si>
    <t>&gt;150 000</t>
  </si>
  <si>
    <t>GRI 102-8</t>
  </si>
  <si>
    <t>The indicator is an average of the share of disabled employees across the Group and also includes the share of disabled employees hired by third parties. This indicator was calculated based on the recommendations to the calculation approach of the PBCS Standard and cannot be the basis for determining whether the quota is met in accordance with Resolution of the Russian Government No. 366, On Approval of the Rules for Employers to Fulfil the Employment Quota for Disabled Persons When Employing Disabled Persons in Any Position, dated 14 March 2022’, as it does not take into account the regional factor.</t>
  </si>
  <si>
    <t xml:space="preserve">Показатель является усредненным от доли работников, являющихся инвалидами по Группе Компаний, а также включает в себя долю работников, являющихся инвалидами, нанятых из сторонних организаций. Данный показатель был посчитан исходя из рекомендаций к подходу расчета Стандарта СОКБ и не может являться основанием для определения выполнения квоты в соответствии с постановлением Правительства РФ от 14.03.2022 № 366 «Об утверждении Правил выполнения работодателем квоты для приема на работу инвалидов при оформлении трудовых отношений с инвалидом на любое рабочее место», поскольку не учитывает региональный фактор. </t>
  </si>
  <si>
    <t>В Отчете за 2025 год произведен пересчет показателя устойчивых, в том числе "зеленых" инвестиций за 2023 и 2024 годы пропорционально доле владения Группы в совместных предприятиях. Подробнее см. в Приложении 4, показатель GRI 2-4.</t>
  </si>
  <si>
    <t>In the 2025 Report, the Volume of sustainable, including green, investments indicator for 2023 and 2024 has been recalculated proportionally to the Group's ownership stake in joint ventures. For more details, see Appendix 4, GRI 2-4.</t>
  </si>
  <si>
    <t>In the 2025 Report, the expenses on the research and development activities indicator for 2023 and 2024 has been recalculated proportionally to the Group's ownership stake in joint ventures. For more details, see Appendix 4, GRI 2-4.</t>
  </si>
  <si>
    <t>В Отчете за 2025 год произведен пересчет показателя общих расходов на научные исследования и (или) опытно-конструкторские разработки за 2023 и 2024 годы пропорционально доле владения Группы в совместных предприятиях. Подробнее см. в Приложении 4, показатель GRI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</si>
</sst>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_-;\-* #,##0.00_-;_-* &quot;-&quot;??_-;_-@_-"/>
    <numFmt numFmtId="164" formatCode="#,##0;[Red]\(#,##0\)"/>
    <numFmt numFmtId="165" formatCode="#,##0;[Red]#,##0"/>
    <numFmt numFmtId="166" formatCode="#,##0.00;[Red]#,##0.00"/>
    <numFmt numFmtId="167" formatCode="0.0"/>
    <numFmt numFmtId="168" formatCode="#,##0.000;[Red]#,##0.000"/>
    <numFmt numFmtId="169" formatCode="0.000"/>
    <numFmt numFmtId="170" formatCode="0.0000"/>
    <numFmt numFmtId="171" formatCode="#,##0.0;[Red]\(#,##0.0\)"/>
    <numFmt numFmtId="172" formatCode="#,##0.00;[Red]\(#,##0.00\)"/>
    <numFmt numFmtId="173" formatCode="#,##0.0"/>
    <numFmt numFmtId="174" formatCode="#,##0.0;[Red]#,##0.0"/>
    <numFmt numFmtId="175" formatCode="_-* #,##0_-;\-* #,##0_-;_-* &quot;-&quot;??_-;_-@_-"/>
    <numFmt numFmtId="176" formatCode="#,##0.0000;[Red]#,##0.0000"/>
    <numFmt numFmtId="177" formatCode="0.00000"/>
    <numFmt numFmtId="178" formatCode="#,##0.000"/>
    <numFmt numFmtId="179" formatCode="#,##0.0000"/>
    <numFmt numFmtId="180" formatCode="_(* #,##0_);_(* \(#,##0\);_(* &quot;-&quot;??_);_(@_)"/>
    <numFmt numFmtId="181" formatCode="#,##0.0_);[Red]\(#,##0.0\)"/>
    <numFmt numFmtId="182" formatCode="_-* #,##0\ _₽_-;\-* #,##0\ _₽_-;_-* &quot;-&quot;??\ _₽_-;_-@_-"/>
    <numFmt numFmtId="183" formatCode="#,##0.000000000;[Red]\(#,##0.000000000\)"/>
    <numFmt numFmtId="184" formatCode="#,##0.00000"/>
    <numFmt numFmtId="185" formatCode="0.0000%"/>
    <numFmt numFmtId="186" formatCode="#,##0.00000;[Red]#,##0.00000"/>
    <numFmt numFmtId="187" formatCode="_-* #,##0.00000_-;\-* #,##0.00000_-;_-* &quot;-&quot;??_-;_-@_-"/>
  </numFmts>
  <fonts count="117">
    <font>
      <sz val="11"/>
      <color theme="1"/>
      <name val="Calibri"/>
      <family val="2"/>
      <charset val="204"/>
      <scheme val="minor"/>
    </font>
    <font>
      <sz val="11"/>
      <color theme="1"/>
      <name val="Calibri"/>
      <family val="2"/>
      <scheme val="minor"/>
    </font>
    <font>
      <b/>
      <sz val="10"/>
      <color indexed="8"/>
      <name val="Arial"/>
      <family val="2"/>
    </font>
    <font>
      <i/>
      <sz val="12"/>
      <name val="Arial"/>
      <family val="2"/>
      <charset val="204"/>
    </font>
    <font>
      <b/>
      <sz val="14"/>
      <name val="Arial"/>
      <family val="2"/>
    </font>
    <font>
      <sz val="14"/>
      <name val="Arial"/>
      <family val="2"/>
    </font>
    <font>
      <sz val="14"/>
      <name val="Arial"/>
      <family val="2"/>
      <charset val="204"/>
    </font>
    <font>
      <b/>
      <sz val="14"/>
      <name val="Arial"/>
      <family val="2"/>
      <charset val="204"/>
    </font>
    <font>
      <i/>
      <sz val="10"/>
      <name val="Arial"/>
      <family val="2"/>
      <charset val="204"/>
    </font>
    <font>
      <b/>
      <i/>
      <sz val="12"/>
      <name val="Arial"/>
      <family val="2"/>
      <charset val="204"/>
    </font>
    <font>
      <sz val="12"/>
      <name val="Arial"/>
      <family val="2"/>
      <charset val="204"/>
    </font>
    <font>
      <i/>
      <sz val="10"/>
      <name val="Arial"/>
      <family val="2"/>
    </font>
    <font>
      <b/>
      <sz val="20"/>
      <name val="Arial"/>
      <family val="2"/>
      <charset val="204"/>
    </font>
    <font>
      <b/>
      <sz val="18"/>
      <name val="Arial"/>
      <family val="2"/>
      <charset val="204"/>
    </font>
    <font>
      <b/>
      <sz val="16"/>
      <name val="Arial"/>
      <family val="2"/>
      <charset val="204"/>
    </font>
    <font>
      <b/>
      <u/>
      <sz val="18"/>
      <name val="Arial"/>
      <family val="2"/>
      <charset val="204"/>
    </font>
    <font>
      <b/>
      <sz val="24"/>
      <name val="Arial"/>
      <family val="2"/>
      <charset val="204"/>
    </font>
    <font>
      <i/>
      <u/>
      <sz val="10"/>
      <name val="Arial"/>
      <family val="2"/>
      <charset val="204"/>
    </font>
    <font>
      <i/>
      <sz val="14"/>
      <name val="Arial"/>
      <family val="2"/>
      <charset val="204"/>
    </font>
    <font>
      <sz val="10"/>
      <name val="Arial"/>
      <family val="2"/>
      <charset val="204"/>
    </font>
    <font>
      <b/>
      <i/>
      <sz val="10"/>
      <name val="Arial"/>
      <family val="2"/>
      <charset val="204"/>
    </font>
    <font>
      <b/>
      <sz val="10"/>
      <name val="Arial"/>
      <family val="2"/>
      <charset val="204"/>
    </font>
    <font>
      <u/>
      <sz val="12"/>
      <name val="Arial"/>
      <family val="2"/>
      <charset val="204"/>
    </font>
    <font>
      <i/>
      <sz val="14"/>
      <name val="Arial"/>
      <family val="2"/>
    </font>
    <font>
      <b/>
      <i/>
      <sz val="14"/>
      <name val="Arial"/>
      <family val="2"/>
      <charset val="204"/>
    </font>
    <font>
      <sz val="11"/>
      <color theme="1"/>
      <name val="Calibri"/>
      <family val="2"/>
      <charset val="204"/>
      <scheme val="minor"/>
    </font>
    <font>
      <sz val="11"/>
      <color theme="0"/>
      <name val="Calibri"/>
      <family val="2"/>
      <charset val="204"/>
      <scheme val="minor"/>
    </font>
    <font>
      <u/>
      <sz val="11"/>
      <color theme="10"/>
      <name val="Calibri"/>
      <family val="2"/>
      <scheme val="minor"/>
    </font>
    <font>
      <sz val="11"/>
      <color theme="1"/>
      <name val="Calibri"/>
      <family val="2"/>
      <scheme val="minor"/>
    </font>
    <font>
      <b/>
      <sz val="11"/>
      <color rgb="FF055CAB"/>
      <name val="Arial"/>
      <family val="2"/>
    </font>
    <font>
      <sz val="11"/>
      <color rgb="FF055CAB"/>
      <name val="Arial"/>
      <family val="2"/>
    </font>
    <font>
      <u/>
      <sz val="11"/>
      <color theme="10"/>
      <name val="Arial"/>
      <family val="2"/>
      <charset val="204"/>
    </font>
    <font>
      <u/>
      <sz val="11"/>
      <color rgb="FF055CAB"/>
      <name val="Arial"/>
      <family val="2"/>
      <charset val="204"/>
    </font>
    <font>
      <b/>
      <sz val="36"/>
      <color rgb="FF0070C0"/>
      <name val="Arial Black"/>
      <family val="2"/>
      <charset val="204"/>
    </font>
    <font>
      <sz val="18"/>
      <color theme="1"/>
      <name val="Calibri"/>
      <family val="2"/>
      <charset val="204"/>
      <scheme val="minor"/>
    </font>
    <font>
      <sz val="14"/>
      <color theme="1"/>
      <name val="Arial"/>
      <family val="2"/>
      <charset val="204"/>
    </font>
    <font>
      <b/>
      <sz val="14"/>
      <color theme="0"/>
      <name val="Arial"/>
      <family val="2"/>
      <charset val="204"/>
    </font>
    <font>
      <sz val="9"/>
      <color theme="1"/>
      <name val="Arial"/>
      <family val="2"/>
      <charset val="204"/>
    </font>
    <font>
      <b/>
      <sz val="14"/>
      <color theme="1"/>
      <name val="Arial"/>
      <family val="2"/>
      <charset val="204"/>
    </font>
    <font>
      <b/>
      <sz val="10"/>
      <color theme="1"/>
      <name val="Arial"/>
      <family val="2"/>
    </font>
    <font>
      <b/>
      <sz val="10"/>
      <color theme="0"/>
      <name val="Arial"/>
      <family val="2"/>
    </font>
    <font>
      <b/>
      <sz val="14"/>
      <color rgb="FFFF0000"/>
      <name val="Arial"/>
      <family val="2"/>
      <charset val="204"/>
    </font>
    <font>
      <sz val="14"/>
      <color theme="0"/>
      <name val="Arial"/>
      <family val="2"/>
      <charset val="204"/>
    </font>
    <font>
      <i/>
      <sz val="10"/>
      <color theme="1"/>
      <name val="Arial"/>
      <family val="2"/>
      <charset val="204"/>
    </font>
    <font>
      <sz val="12"/>
      <color theme="1"/>
      <name val="Arial"/>
      <family val="2"/>
      <charset val="204"/>
    </font>
    <font>
      <i/>
      <sz val="12"/>
      <color theme="1"/>
      <name val="Arial"/>
      <family val="2"/>
      <charset val="204"/>
    </font>
    <font>
      <sz val="14"/>
      <color theme="1"/>
      <name val="Arial"/>
      <family val="2"/>
    </font>
    <font>
      <sz val="14"/>
      <color theme="1"/>
      <name val="Calibri"/>
      <family val="2"/>
      <charset val="204"/>
      <scheme val="minor"/>
    </font>
    <font>
      <sz val="14"/>
      <color rgb="FF000000"/>
      <name val="Arial"/>
      <family val="2"/>
      <charset val="204"/>
    </font>
    <font>
      <i/>
      <sz val="12"/>
      <color theme="0"/>
      <name val="Arial"/>
      <family val="2"/>
      <charset val="204"/>
    </font>
    <font>
      <i/>
      <sz val="10"/>
      <color theme="0"/>
      <name val="Arial"/>
      <family val="2"/>
      <charset val="204"/>
    </font>
    <font>
      <sz val="12"/>
      <color theme="1"/>
      <name val="Calibri"/>
      <family val="2"/>
      <charset val="204"/>
      <scheme val="minor"/>
    </font>
    <font>
      <sz val="14"/>
      <color rgb="FFFF0000"/>
      <name val="Arial"/>
      <family val="2"/>
      <charset val="204"/>
    </font>
    <font>
      <b/>
      <sz val="14"/>
      <color theme="1"/>
      <name val="Arial"/>
      <family val="2"/>
    </font>
    <font>
      <sz val="14"/>
      <color theme="0"/>
      <name val="Arial"/>
      <family val="2"/>
    </font>
    <font>
      <sz val="11"/>
      <color theme="1"/>
      <name val="Univers for BP"/>
      <family val="2"/>
    </font>
    <font>
      <u/>
      <sz val="12"/>
      <color theme="10"/>
      <name val="Arial"/>
      <family val="2"/>
      <charset val="204"/>
    </font>
    <font>
      <b/>
      <sz val="11"/>
      <color theme="1"/>
      <name val="Univers for BP"/>
      <family val="2"/>
    </font>
    <font>
      <b/>
      <u/>
      <sz val="18"/>
      <name val="Calibri"/>
      <family val="2"/>
      <charset val="204"/>
      <scheme val="minor"/>
    </font>
    <font>
      <u/>
      <sz val="14"/>
      <color theme="10"/>
      <name val="Arial"/>
      <family val="2"/>
      <charset val="204"/>
    </font>
    <font>
      <sz val="9"/>
      <color theme="0"/>
      <name val="Arial"/>
      <family val="2"/>
      <charset val="204"/>
    </font>
    <font>
      <sz val="10"/>
      <color theme="1"/>
      <name val="Calibri"/>
      <family val="2"/>
      <charset val="204"/>
      <scheme val="minor"/>
    </font>
    <font>
      <b/>
      <sz val="22"/>
      <color rgb="FF055CAB"/>
      <name val="Arial"/>
      <family val="2"/>
    </font>
    <font>
      <b/>
      <sz val="14"/>
      <color rgb="FFFFFFFF"/>
      <name val="Arial"/>
      <family val="2"/>
      <charset val="204"/>
    </font>
    <font>
      <i/>
      <sz val="10"/>
      <color theme="1"/>
      <name val="Calibri"/>
      <family val="2"/>
      <charset val="204"/>
      <scheme val="minor"/>
    </font>
    <font>
      <i/>
      <sz val="10"/>
      <color theme="1"/>
      <name val="Arial"/>
      <family val="2"/>
    </font>
    <font>
      <i/>
      <sz val="10"/>
      <color rgb="FFFF0000"/>
      <name val="Arial"/>
      <family val="2"/>
    </font>
    <font>
      <b/>
      <sz val="13"/>
      <color theme="0"/>
      <name val="Arial"/>
      <family val="2"/>
      <charset val="204"/>
    </font>
    <font>
      <b/>
      <i/>
      <sz val="10"/>
      <color theme="1"/>
      <name val="Arial"/>
      <family val="2"/>
      <charset val="204"/>
    </font>
    <font>
      <i/>
      <sz val="10"/>
      <color rgb="FF000000"/>
      <name val="Arial"/>
      <family val="2"/>
      <charset val="204"/>
    </font>
    <font>
      <sz val="10"/>
      <color theme="0"/>
      <name val="Arial"/>
      <family val="2"/>
      <charset val="204"/>
    </font>
    <font>
      <sz val="10"/>
      <color theme="0"/>
      <name val="Tahoma"/>
      <family val="2"/>
      <charset val="204"/>
    </font>
    <font>
      <b/>
      <sz val="10"/>
      <color theme="0"/>
      <name val="Arial"/>
      <family val="2"/>
      <charset val="204"/>
    </font>
    <font>
      <sz val="14"/>
      <color rgb="FFFFFFFF"/>
      <name val="Arial"/>
      <family val="2"/>
      <charset val="204"/>
    </font>
    <font>
      <i/>
      <sz val="14"/>
      <color theme="0"/>
      <name val="Arial"/>
      <family val="2"/>
      <charset val="204"/>
    </font>
    <font>
      <b/>
      <i/>
      <sz val="10"/>
      <color theme="0"/>
      <name val="Arial"/>
      <family val="2"/>
      <charset val="204"/>
    </font>
    <font>
      <sz val="12"/>
      <color theme="0"/>
      <name val="Arial"/>
      <family val="2"/>
      <charset val="204"/>
    </font>
    <font>
      <sz val="12"/>
      <color rgb="FFFF0000"/>
      <name val="Arial"/>
      <family val="2"/>
      <charset val="204"/>
    </font>
    <font>
      <sz val="14"/>
      <color theme="1"/>
      <name val="Tahoma"/>
      <family val="2"/>
      <charset val="204"/>
    </font>
    <font>
      <u/>
      <sz val="10"/>
      <color theme="10"/>
      <name val="Arial"/>
      <family val="2"/>
      <charset val="204"/>
    </font>
    <font>
      <sz val="10"/>
      <color theme="1"/>
      <name val="Arial"/>
      <family val="2"/>
      <charset val="204"/>
    </font>
    <font>
      <sz val="10"/>
      <color rgb="FFFF0000"/>
      <name val="Arial"/>
      <family val="2"/>
      <charset val="204"/>
    </font>
    <font>
      <u/>
      <sz val="10"/>
      <color rgb="FF0070C0"/>
      <name val="Arial"/>
      <family val="2"/>
      <charset val="204"/>
    </font>
    <font>
      <sz val="22"/>
      <color theme="10"/>
      <name val="Arial"/>
      <family val="2"/>
      <charset val="204"/>
    </font>
    <font>
      <sz val="22"/>
      <color theme="4" tint="-0.249977111117893"/>
      <name val="Arial"/>
      <family val="2"/>
      <charset val="204"/>
    </font>
    <font>
      <u/>
      <sz val="10"/>
      <color theme="0"/>
      <name val="Arial"/>
      <family val="2"/>
      <charset val="204"/>
    </font>
    <font>
      <u/>
      <sz val="14"/>
      <color theme="1"/>
      <name val="Arial"/>
      <family val="2"/>
    </font>
    <font>
      <u/>
      <sz val="14"/>
      <color rgb="FFFF0000"/>
      <name val="Arial"/>
      <family val="2"/>
      <charset val="204"/>
    </font>
    <font>
      <u/>
      <sz val="14"/>
      <color theme="1"/>
      <name val="Calibri"/>
      <family val="2"/>
      <charset val="204"/>
      <scheme val="minor"/>
    </font>
    <font>
      <sz val="12"/>
      <color theme="8"/>
      <name val="Arial"/>
      <family val="2"/>
      <charset val="204"/>
    </font>
    <font>
      <b/>
      <sz val="12"/>
      <color theme="0"/>
      <name val="Arial"/>
      <family val="2"/>
      <charset val="204"/>
    </font>
    <font>
      <sz val="10"/>
      <color rgb="FFFFFFFF"/>
      <name val="Arial"/>
      <family val="2"/>
      <charset val="204"/>
    </font>
    <font>
      <u/>
      <sz val="12"/>
      <color rgb="FF0070C0"/>
      <name val="Arial"/>
      <family val="2"/>
      <charset val="204"/>
    </font>
    <font>
      <i/>
      <sz val="14"/>
      <color theme="1"/>
      <name val="Arial"/>
      <family val="2"/>
      <charset val="204"/>
    </font>
    <font>
      <i/>
      <sz val="11"/>
      <color theme="1"/>
      <name val="Calibri"/>
      <family val="2"/>
      <charset val="204"/>
      <scheme val="minor"/>
    </font>
    <font>
      <i/>
      <sz val="11"/>
      <color theme="0"/>
      <name val="Calibri"/>
      <family val="2"/>
      <charset val="204"/>
      <scheme val="minor"/>
    </font>
    <font>
      <b/>
      <i/>
      <sz val="10"/>
      <color theme="1"/>
      <name val="Arial"/>
      <family val="2"/>
    </font>
    <font>
      <b/>
      <i/>
      <sz val="10"/>
      <color theme="0"/>
      <name val="Arial"/>
      <family val="2"/>
    </font>
    <font>
      <i/>
      <sz val="9"/>
      <color theme="1"/>
      <name val="Arial"/>
      <family val="2"/>
      <charset val="204"/>
    </font>
    <font>
      <i/>
      <sz val="14"/>
      <color rgb="FFFF0000"/>
      <name val="Arial"/>
      <family val="2"/>
      <charset val="204"/>
    </font>
    <font>
      <i/>
      <sz val="9"/>
      <color theme="0"/>
      <name val="Arial"/>
      <family val="2"/>
      <charset val="204"/>
    </font>
    <font>
      <i/>
      <sz val="14"/>
      <color theme="0"/>
      <name val="Arial"/>
      <family val="2"/>
    </font>
    <font>
      <b/>
      <i/>
      <sz val="14"/>
      <color theme="0"/>
      <name val="Arial"/>
      <family val="2"/>
      <charset val="204"/>
    </font>
    <font>
      <i/>
      <sz val="14"/>
      <color theme="1"/>
      <name val="Calibri"/>
      <family val="2"/>
      <charset val="204"/>
      <scheme val="minor"/>
    </font>
    <font>
      <b/>
      <i/>
      <sz val="10"/>
      <color rgb="FFFF0000"/>
      <name val="Arial"/>
      <family val="2"/>
      <charset val="204"/>
    </font>
    <font>
      <b/>
      <sz val="12"/>
      <color theme="1"/>
      <name val="Calibri"/>
      <family val="2"/>
      <charset val="204"/>
      <scheme val="minor"/>
    </font>
    <font>
      <sz val="11"/>
      <color theme="1"/>
      <name val="Arial"/>
      <family val="2"/>
      <charset val="204"/>
    </font>
    <font>
      <sz val="12"/>
      <color rgb="FF000000"/>
      <name val="Times New Roman"/>
      <family val="1"/>
      <charset val="204"/>
    </font>
    <font>
      <i/>
      <sz val="12"/>
      <color rgb="FF000000"/>
      <name val="Times New Roman"/>
      <family val="1"/>
      <charset val="204"/>
    </font>
    <font>
      <b/>
      <sz val="12"/>
      <color rgb="FF000000"/>
      <name val="Times New Roman"/>
      <family val="1"/>
      <charset val="204"/>
    </font>
    <font>
      <i/>
      <sz val="12"/>
      <name val="Times New Roman"/>
      <family val="1"/>
      <charset val="204"/>
    </font>
    <font>
      <sz val="8"/>
      <name val="Calibri"/>
      <family val="2"/>
      <charset val="204"/>
      <scheme val="minor"/>
    </font>
    <font>
      <i/>
      <sz val="11"/>
      <color theme="1"/>
      <name val="Arial"/>
      <family val="2"/>
      <charset val="204"/>
    </font>
    <font>
      <i/>
      <sz val="11"/>
      <color rgb="FFFF0000"/>
      <name val="Arial"/>
      <family val="2"/>
      <charset val="204"/>
    </font>
    <font>
      <sz val="11"/>
      <color theme="0"/>
      <name val="Arial"/>
      <family val="2"/>
      <charset val="204"/>
    </font>
    <font>
      <i/>
      <sz val="11"/>
      <name val="Arial"/>
      <family val="2"/>
      <charset val="204"/>
    </font>
    <font>
      <b/>
      <i/>
      <sz val="11"/>
      <color theme="1"/>
      <name val="Arial"/>
      <family val="2"/>
      <charset val="204"/>
    </font>
  </fonts>
  <fills count="2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3F79BD"/>
        <bgColor indexed="64"/>
      </patternFill>
    </fill>
    <fill>
      <patternFill patternType="solid">
        <fgColor rgb="FF859DC0"/>
        <bgColor indexed="64"/>
      </patternFill>
    </fill>
    <fill>
      <patternFill patternType="solid">
        <fgColor theme="2"/>
        <bgColor indexed="64"/>
      </patternFill>
    </fill>
    <fill>
      <patternFill patternType="solid">
        <fgColor theme="4" tint="0.59999389629810485"/>
        <bgColor indexed="64"/>
      </patternFill>
    </fill>
    <fill>
      <patternFill patternType="solid">
        <fgColor rgb="FFBDD7EE"/>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2"/>
        <bgColor rgb="FF000000"/>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bgColor indexed="64"/>
      </patternFill>
    </fill>
    <fill>
      <patternFill patternType="solid">
        <fgColor rgb="FF3F79BD"/>
        <bgColor rgb="FF000000"/>
      </patternFill>
    </fill>
    <fill>
      <patternFill patternType="solid">
        <fgColor theme="9" tint="0.79998168889431442"/>
        <bgColor indexed="64"/>
      </patternFill>
    </fill>
    <fill>
      <patternFill patternType="solid">
        <fgColor rgb="FFDDEBF7"/>
        <bgColor rgb="FF000000"/>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19">
    <xf numFmtId="0" fontId="0" fillId="0" borderId="0"/>
    <xf numFmtId="43" fontId="25" fillId="0" borderId="0" applyFont="0" applyFill="0" applyBorder="0" applyAlignment="0" applyProtection="0"/>
    <xf numFmtId="43" fontId="25" fillId="0" borderId="0" applyFont="0" applyFill="0" applyBorder="0" applyAlignment="0" applyProtection="0"/>
    <xf numFmtId="0" fontId="2" fillId="2" borderId="1"/>
    <xf numFmtId="0" fontId="27" fillId="0" borderId="0" applyNumberFormat="0" applyFill="0" applyBorder="0" applyAlignment="0" applyProtection="0"/>
    <xf numFmtId="0" fontId="25" fillId="0" borderId="0"/>
    <xf numFmtId="9" fontId="25" fillId="0" borderId="0" applyFont="0" applyFill="0" applyBorder="0" applyAlignment="0" applyProtection="0"/>
    <xf numFmtId="0" fontId="25" fillId="0" borderId="0"/>
    <xf numFmtId="0" fontId="28" fillId="0" borderId="0"/>
    <xf numFmtId="43" fontId="2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9" fillId="0" borderId="0"/>
    <xf numFmtId="9" fontId="1" fillId="0" borderId="0" applyFont="0" applyFill="0" applyBorder="0" applyAlignment="0" applyProtection="0"/>
    <xf numFmtId="0" fontId="25" fillId="0" borderId="0"/>
    <xf numFmtId="0" fontId="25" fillId="0" borderId="0"/>
    <xf numFmtId="0" fontId="25" fillId="0" borderId="0"/>
    <xf numFmtId="0" fontId="25" fillId="0" borderId="0"/>
  </cellStyleXfs>
  <cellXfs count="946">
    <xf numFmtId="0" fontId="0" fillId="0" borderId="0" xfId="0"/>
    <xf numFmtId="0" fontId="0" fillId="3" borderId="0" xfId="0" applyFill="1"/>
    <xf numFmtId="0" fontId="29" fillId="3" borderId="2" xfId="0" applyFont="1" applyFill="1" applyBorder="1" applyAlignment="1">
      <alignment vertical="center"/>
    </xf>
    <xf numFmtId="0" fontId="30" fillId="3" borderId="0" xfId="0" quotePrefix="1" applyFont="1" applyFill="1"/>
    <xf numFmtId="0" fontId="31" fillId="3" borderId="0" xfId="4" quotePrefix="1" applyFont="1" applyFill="1" applyAlignment="1">
      <alignment horizontal="left"/>
    </xf>
    <xf numFmtId="0" fontId="32" fillId="3" borderId="0" xfId="4" applyFont="1" applyFill="1"/>
    <xf numFmtId="0" fontId="26" fillId="3" borderId="0" xfId="0" applyFont="1" applyFill="1"/>
    <xf numFmtId="0" fontId="0" fillId="3" borderId="0" xfId="0" applyFill="1" applyAlignment="1">
      <alignment horizontal="center"/>
    </xf>
    <xf numFmtId="0" fontId="33" fillId="3" borderId="0" xfId="0" applyFont="1" applyFill="1" applyAlignment="1">
      <alignment horizontal="left" vertical="center"/>
    </xf>
    <xf numFmtId="0" fontId="34" fillId="3" borderId="0" xfId="0" applyFont="1" applyFill="1"/>
    <xf numFmtId="164" fontId="5" fillId="3" borderId="0" xfId="0" applyNumberFormat="1" applyFont="1" applyFill="1" applyAlignment="1">
      <alignment horizontal="right" vertical="center"/>
    </xf>
    <xf numFmtId="37" fontId="5" fillId="3" borderId="0" xfId="0" applyNumberFormat="1" applyFont="1" applyFill="1" applyAlignment="1">
      <alignment horizontal="left" vertical="center" indent="2"/>
    </xf>
    <xf numFmtId="0" fontId="8" fillId="3" borderId="0" xfId="0" applyFont="1" applyFill="1" applyAlignment="1">
      <alignment horizontal="left" vertical="center"/>
    </xf>
    <xf numFmtId="0" fontId="8" fillId="4" borderId="0" xfId="0" applyFont="1" applyFill="1" applyAlignment="1">
      <alignment horizontal="left" vertical="center"/>
    </xf>
    <xf numFmtId="0" fontId="35" fillId="3" borderId="0" xfId="5" applyFont="1" applyFill="1"/>
    <xf numFmtId="0" fontId="35" fillId="3" borderId="0" xfId="5" applyFont="1" applyFill="1" applyAlignment="1">
      <alignment horizontal="left" vertical="center"/>
    </xf>
    <xf numFmtId="0" fontId="35" fillId="3" borderId="0" xfId="5" applyFont="1" applyFill="1" applyAlignment="1">
      <alignment horizontal="right"/>
    </xf>
    <xf numFmtId="0" fontId="35" fillId="3" borderId="0" xfId="5" applyFont="1" applyFill="1" applyAlignment="1">
      <alignment vertical="center"/>
    </xf>
    <xf numFmtId="0" fontId="36" fillId="5" borderId="0" xfId="7" applyFont="1" applyFill="1" applyAlignment="1">
      <alignment horizontal="left" vertical="center"/>
    </xf>
    <xf numFmtId="49" fontId="36" fillId="6" borderId="0" xfId="5" applyNumberFormat="1" applyFont="1" applyFill="1" applyAlignment="1">
      <alignment horizontal="left" vertical="center"/>
    </xf>
    <xf numFmtId="0" fontId="36" fillId="6" borderId="0" xfId="5" applyFont="1" applyFill="1" applyAlignment="1">
      <alignment horizontal="right" vertical="center"/>
    </xf>
    <xf numFmtId="1" fontId="36" fillId="6" borderId="0" xfId="5" applyNumberFormat="1" applyFont="1" applyFill="1" applyAlignment="1">
      <alignment horizontal="right" vertical="center"/>
    </xf>
    <xf numFmtId="0" fontId="37" fillId="3" borderId="0" xfId="5" applyFont="1" applyFill="1" applyAlignment="1">
      <alignment wrapText="1"/>
    </xf>
    <xf numFmtId="0" fontId="6" fillId="4" borderId="0" xfId="5" applyFont="1" applyFill="1" applyAlignment="1">
      <alignment horizontal="left" vertical="center" indent="2"/>
    </xf>
    <xf numFmtId="166" fontId="6" fillId="7" borderId="0" xfId="7" applyNumberFormat="1" applyFont="1" applyFill="1" applyAlignment="1">
      <alignment horizontal="right" vertical="center"/>
    </xf>
    <xf numFmtId="37" fontId="9" fillId="3" borderId="0" xfId="7" applyNumberFormat="1" applyFont="1" applyFill="1" applyAlignment="1">
      <alignment vertical="center"/>
    </xf>
    <xf numFmtId="37" fontId="3" fillId="3" borderId="0" xfId="7" applyNumberFormat="1" applyFont="1" applyFill="1" applyAlignment="1">
      <alignment vertical="center"/>
    </xf>
    <xf numFmtId="1" fontId="6" fillId="7" borderId="0" xfId="5" applyNumberFormat="1" applyFont="1" applyFill="1" applyAlignment="1">
      <alignment horizontal="right" vertical="center"/>
    </xf>
    <xf numFmtId="167" fontId="6" fillId="7" borderId="0" xfId="5" applyNumberFormat="1" applyFont="1" applyFill="1" applyAlignment="1">
      <alignment horizontal="right" vertical="center"/>
    </xf>
    <xf numFmtId="0" fontId="6" fillId="3" borderId="0" xfId="5" applyFont="1" applyFill="1" applyAlignment="1">
      <alignment horizontal="right" vertical="center"/>
    </xf>
    <xf numFmtId="0" fontId="35" fillId="3" borderId="3" xfId="5" applyFont="1" applyFill="1" applyBorder="1"/>
    <xf numFmtId="0" fontId="35" fillId="3" borderId="3" xfId="5" applyFont="1" applyFill="1" applyBorder="1" applyAlignment="1">
      <alignment horizontal="left" vertical="center"/>
    </xf>
    <xf numFmtId="0" fontId="35" fillId="3" borderId="3" xfId="5" applyFont="1" applyFill="1" applyBorder="1" applyAlignment="1">
      <alignment horizontal="right"/>
    </xf>
    <xf numFmtId="0" fontId="38" fillId="3" borderId="0" xfId="5" applyFont="1" applyFill="1" applyAlignment="1">
      <alignment wrapText="1"/>
    </xf>
    <xf numFmtId="37" fontId="6" fillId="3" borderId="0" xfId="5" applyNumberFormat="1" applyFont="1" applyFill="1" applyAlignment="1">
      <alignment vertical="top"/>
    </xf>
    <xf numFmtId="0" fontId="39" fillId="3" borderId="0" xfId="5" applyFont="1" applyFill="1" applyAlignment="1">
      <alignment vertical="top" wrapText="1"/>
    </xf>
    <xf numFmtId="0" fontId="40" fillId="3" borderId="0" xfId="5" applyFont="1" applyFill="1" applyAlignment="1">
      <alignment horizontal="center" vertical="center" wrapText="1"/>
    </xf>
    <xf numFmtId="0" fontId="35" fillId="3" borderId="0" xfId="5" applyFont="1" applyFill="1" applyAlignment="1">
      <alignment horizontal="right" vertical="center"/>
    </xf>
    <xf numFmtId="3" fontId="6" fillId="3" borderId="0" xfId="5" applyNumberFormat="1" applyFont="1" applyFill="1" applyAlignment="1">
      <alignment horizontal="right" vertical="center"/>
    </xf>
    <xf numFmtId="0" fontId="8" fillId="3" borderId="0" xfId="5" applyFont="1" applyFill="1" applyAlignment="1">
      <alignment horizontal="right" vertical="center"/>
    </xf>
    <xf numFmtId="49" fontId="41" fillId="3" borderId="0" xfId="5" applyNumberFormat="1" applyFont="1" applyFill="1" applyAlignment="1">
      <alignment horizontal="right" vertical="center"/>
    </xf>
    <xf numFmtId="0" fontId="6" fillId="3" borderId="0" xfId="0" applyFont="1" applyFill="1" applyAlignment="1">
      <alignment horizontal="left" vertical="center" indent="2"/>
    </xf>
    <xf numFmtId="0" fontId="8" fillId="8" borderId="0" xfId="0" applyFont="1" applyFill="1" applyAlignment="1">
      <alignment horizontal="left" vertical="center"/>
    </xf>
    <xf numFmtId="0" fontId="35" fillId="3" borderId="0" xfId="7" applyFont="1" applyFill="1"/>
    <xf numFmtId="49" fontId="36" fillId="5" borderId="0" xfId="7" applyNumberFormat="1" applyFont="1" applyFill="1" applyAlignment="1">
      <alignment horizontal="left" vertical="center"/>
    </xf>
    <xf numFmtId="0" fontId="36" fillId="5" borderId="0" xfId="5" applyFont="1" applyFill="1" applyAlignment="1">
      <alignment horizontal="left" vertical="center"/>
    </xf>
    <xf numFmtId="3" fontId="35" fillId="3" borderId="0" xfId="5" applyNumberFormat="1" applyFont="1" applyFill="1" applyAlignment="1">
      <alignment horizontal="right" vertical="center"/>
    </xf>
    <xf numFmtId="0" fontId="42" fillId="5" borderId="0" xfId="5" applyFont="1" applyFill="1" applyAlignment="1">
      <alignment vertical="center"/>
    </xf>
    <xf numFmtId="37" fontId="7" fillId="8" borderId="0" xfId="5" applyNumberFormat="1" applyFont="1" applyFill="1" applyAlignment="1">
      <alignment horizontal="left" vertical="center" wrapText="1"/>
    </xf>
    <xf numFmtId="0" fontId="43" fillId="8" borderId="0" xfId="5" applyFont="1" applyFill="1" applyAlignment="1">
      <alignment horizontal="left" vertical="center"/>
    </xf>
    <xf numFmtId="3" fontId="5" fillId="9" borderId="0" xfId="0" applyNumberFormat="1" applyFont="1" applyFill="1" applyAlignment="1">
      <alignment horizontal="right" vertical="center"/>
    </xf>
    <xf numFmtId="3" fontId="5" fillId="8" borderId="0" xfId="2" applyNumberFormat="1" applyFont="1" applyFill="1" applyAlignment="1" applyProtection="1">
      <alignment horizontal="right" vertical="center"/>
    </xf>
    <xf numFmtId="37" fontId="6" fillId="3" borderId="0" xfId="5" applyNumberFormat="1" applyFont="1" applyFill="1" applyAlignment="1">
      <alignment horizontal="left" vertical="center" wrapText="1"/>
    </xf>
    <xf numFmtId="0" fontId="43" fillId="3" borderId="0" xfId="5" applyFont="1" applyFill="1" applyAlignment="1">
      <alignment horizontal="left" vertical="center"/>
    </xf>
    <xf numFmtId="171" fontId="6" fillId="3" borderId="0" xfId="0" applyNumberFormat="1" applyFont="1" applyFill="1" applyAlignment="1">
      <alignment horizontal="right" vertical="center"/>
    </xf>
    <xf numFmtId="166" fontId="8" fillId="3" borderId="0" xfId="7" applyNumberFormat="1" applyFont="1" applyFill="1" applyAlignment="1">
      <alignment horizontal="right" vertical="center"/>
    </xf>
    <xf numFmtId="0" fontId="8" fillId="3" borderId="0" xfId="7" applyFont="1" applyFill="1" applyAlignment="1">
      <alignment horizontal="right" vertical="center"/>
    </xf>
    <xf numFmtId="37" fontId="7" fillId="3" borderId="0" xfId="5" applyNumberFormat="1" applyFont="1" applyFill="1" applyAlignment="1">
      <alignment horizontal="left" vertical="center" wrapText="1"/>
    </xf>
    <xf numFmtId="165" fontId="6" fillId="3" borderId="0" xfId="7" applyNumberFormat="1" applyFont="1" applyFill="1" applyAlignment="1">
      <alignment horizontal="right" vertical="center"/>
    </xf>
    <xf numFmtId="49" fontId="36" fillId="3" borderId="0" xfId="7" applyNumberFormat="1" applyFont="1" applyFill="1" applyAlignment="1">
      <alignment horizontal="right" vertical="center"/>
    </xf>
    <xf numFmtId="49" fontId="8" fillId="3" borderId="0" xfId="7" applyNumberFormat="1" applyFont="1" applyFill="1" applyAlignment="1">
      <alignment horizontal="right" vertical="center"/>
    </xf>
    <xf numFmtId="0" fontId="45" fillId="3" borderId="0" xfId="7" applyFont="1" applyFill="1" applyAlignment="1">
      <alignment horizontal="left" vertical="center"/>
    </xf>
    <xf numFmtId="164" fontId="10" fillId="3" borderId="0" xfId="7" applyNumberFormat="1" applyFont="1" applyFill="1" applyAlignment="1">
      <alignment horizontal="right" vertical="center"/>
    </xf>
    <xf numFmtId="165" fontId="10" fillId="0" borderId="0" xfId="7" applyNumberFormat="1" applyFont="1" applyAlignment="1">
      <alignment horizontal="right" vertical="center"/>
    </xf>
    <xf numFmtId="166" fontId="6" fillId="3" borderId="0" xfId="7" applyNumberFormat="1" applyFont="1" applyFill="1" applyAlignment="1">
      <alignment horizontal="right" vertical="center"/>
    </xf>
    <xf numFmtId="37" fontId="3" fillId="3" borderId="0" xfId="7" applyNumberFormat="1" applyFont="1" applyFill="1" applyAlignment="1">
      <alignment horizontal="left" vertical="center"/>
    </xf>
    <xf numFmtId="37" fontId="3" fillId="3" borderId="0" xfId="7" applyNumberFormat="1" applyFont="1" applyFill="1" applyAlignment="1">
      <alignment horizontal="right" vertical="center"/>
    </xf>
    <xf numFmtId="167" fontId="6" fillId="3" borderId="0" xfId="0" applyNumberFormat="1" applyFont="1" applyFill="1" applyAlignment="1">
      <alignment horizontal="right" vertical="center"/>
    </xf>
    <xf numFmtId="167" fontId="6" fillId="7" borderId="0" xfId="7" applyNumberFormat="1" applyFont="1" applyFill="1" applyAlignment="1">
      <alignment horizontal="right" vertical="center"/>
    </xf>
    <xf numFmtId="167" fontId="46" fillId="4" borderId="0" xfId="0" applyNumberFormat="1" applyFont="1" applyFill="1" applyAlignment="1">
      <alignment horizontal="right" vertical="center"/>
    </xf>
    <xf numFmtId="168" fontId="6" fillId="7" borderId="0" xfId="7" applyNumberFormat="1" applyFont="1" applyFill="1" applyAlignment="1">
      <alignment horizontal="right" vertical="center"/>
    </xf>
    <xf numFmtId="165" fontId="8" fillId="3" borderId="0" xfId="7" applyNumberFormat="1" applyFont="1" applyFill="1" applyAlignment="1">
      <alignment horizontal="right" vertical="center"/>
    </xf>
    <xf numFmtId="174" fontId="6" fillId="3" borderId="0" xfId="0" applyNumberFormat="1" applyFont="1" applyFill="1" applyAlignment="1">
      <alignment horizontal="right" vertical="center"/>
    </xf>
    <xf numFmtId="167" fontId="47" fillId="4" borderId="0" xfId="0" applyNumberFormat="1" applyFont="1" applyFill="1" applyAlignment="1">
      <alignment horizontal="right" vertical="center"/>
    </xf>
    <xf numFmtId="165" fontId="6" fillId="3" borderId="0" xfId="0" applyNumberFormat="1" applyFont="1" applyFill="1" applyAlignment="1">
      <alignment horizontal="right" vertical="center"/>
    </xf>
    <xf numFmtId="37" fontId="7" fillId="8" borderId="0" xfId="7" applyNumberFormat="1" applyFont="1" applyFill="1" applyAlignment="1">
      <alignment horizontal="left" vertical="center"/>
    </xf>
    <xf numFmtId="0" fontId="11" fillId="3" borderId="0" xfId="0" applyFont="1" applyFill="1" applyAlignment="1">
      <alignment horizontal="left" vertical="center"/>
    </xf>
    <xf numFmtId="0" fontId="43" fillId="4" borderId="0" xfId="5" applyFont="1" applyFill="1" applyAlignment="1">
      <alignment horizontal="left" vertical="center"/>
    </xf>
    <xf numFmtId="37" fontId="6" fillId="3" borderId="0" xfId="5" applyNumberFormat="1" applyFont="1" applyFill="1" applyAlignment="1">
      <alignment horizontal="left" vertical="center" indent="2"/>
    </xf>
    <xf numFmtId="181" fontId="5" fillId="3" borderId="0" xfId="0" applyNumberFormat="1" applyFont="1" applyFill="1" applyAlignment="1" applyProtection="1">
      <alignment horizontal="right" vertical="center"/>
      <protection locked="0"/>
    </xf>
    <xf numFmtId="2" fontId="6" fillId="10" borderId="0" xfId="0" applyNumberFormat="1" applyFont="1" applyFill="1" applyAlignment="1">
      <alignment horizontal="right" vertical="center"/>
    </xf>
    <xf numFmtId="0" fontId="48" fillId="10" borderId="0" xfId="0" applyFont="1" applyFill="1" applyAlignment="1">
      <alignment horizontal="right" vertical="center"/>
    </xf>
    <xf numFmtId="0" fontId="6" fillId="10" borderId="0" xfId="0" applyFont="1" applyFill="1" applyAlignment="1">
      <alignment horizontal="right" vertical="center"/>
    </xf>
    <xf numFmtId="40" fontId="5" fillId="3" borderId="0" xfId="0" applyNumberFormat="1" applyFont="1" applyFill="1" applyAlignment="1" applyProtection="1">
      <alignment horizontal="right" vertical="center"/>
      <protection locked="0"/>
    </xf>
    <xf numFmtId="0" fontId="6" fillId="11" borderId="0" xfId="0" applyFont="1" applyFill="1" applyAlignment="1">
      <alignment horizontal="right" vertical="center"/>
    </xf>
    <xf numFmtId="3" fontId="6" fillId="4" borderId="0" xfId="5" applyNumberFormat="1" applyFont="1" applyFill="1" applyAlignment="1">
      <alignment horizontal="right" vertical="center"/>
    </xf>
    <xf numFmtId="40" fontId="48" fillId="12" borderId="0" xfId="0" applyNumberFormat="1" applyFont="1" applyFill="1" applyAlignment="1">
      <alignment horizontal="right" vertical="center"/>
    </xf>
    <xf numFmtId="37" fontId="6" fillId="3" borderId="0" xfId="5" applyNumberFormat="1" applyFont="1" applyFill="1" applyAlignment="1">
      <alignment horizontal="left" vertical="center" wrapText="1" indent="2"/>
    </xf>
    <xf numFmtId="38" fontId="5" fillId="3" borderId="0" xfId="0" applyNumberFormat="1" applyFont="1" applyFill="1" applyAlignment="1" applyProtection="1">
      <alignment horizontal="right" vertical="center"/>
      <protection locked="0"/>
    </xf>
    <xf numFmtId="3" fontId="6" fillId="7" borderId="0" xfId="5" applyNumberFormat="1" applyFont="1" applyFill="1" applyAlignment="1">
      <alignment horizontal="right" vertical="center"/>
    </xf>
    <xf numFmtId="3" fontId="48" fillId="10" borderId="0" xfId="0" applyNumberFormat="1" applyFont="1" applyFill="1" applyAlignment="1">
      <alignment horizontal="right" vertical="center"/>
    </xf>
    <xf numFmtId="3" fontId="6" fillId="10" borderId="0" xfId="0" applyNumberFormat="1" applyFont="1" applyFill="1" applyAlignment="1">
      <alignment horizontal="right" vertical="center"/>
    </xf>
    <xf numFmtId="3" fontId="6" fillId="11" borderId="0" xfId="0" applyNumberFormat="1" applyFont="1" applyFill="1" applyAlignment="1">
      <alignment horizontal="right" vertical="center"/>
    </xf>
    <xf numFmtId="37" fontId="5" fillId="3" borderId="0" xfId="5" applyNumberFormat="1" applyFont="1" applyFill="1" applyAlignment="1">
      <alignment horizontal="left" vertical="center" indent="2"/>
    </xf>
    <xf numFmtId="4" fontId="6" fillId="7" borderId="0" xfId="5" applyNumberFormat="1" applyFont="1" applyFill="1" applyAlignment="1">
      <alignment horizontal="right" vertical="center"/>
    </xf>
    <xf numFmtId="3" fontId="48" fillId="13" borderId="0" xfId="0" applyNumberFormat="1" applyFont="1" applyFill="1" applyAlignment="1">
      <alignment horizontal="right" vertical="center"/>
    </xf>
    <xf numFmtId="3" fontId="48" fillId="12" borderId="0" xfId="0" applyNumberFormat="1" applyFont="1" applyFill="1" applyAlignment="1">
      <alignment horizontal="right" vertical="center"/>
    </xf>
    <xf numFmtId="173" fontId="6" fillId="7" borderId="0" xfId="5" applyNumberFormat="1" applyFont="1" applyFill="1" applyAlignment="1">
      <alignment horizontal="right" vertical="center"/>
    </xf>
    <xf numFmtId="165" fontId="6" fillId="7" borderId="0" xfId="7" applyNumberFormat="1" applyFont="1" applyFill="1" applyAlignment="1">
      <alignment horizontal="right" vertical="center"/>
    </xf>
    <xf numFmtId="3" fontId="5" fillId="12" borderId="0" xfId="0" applyNumberFormat="1" applyFont="1" applyFill="1" applyAlignment="1">
      <alignment horizontal="right" vertical="center"/>
    </xf>
    <xf numFmtId="3" fontId="48" fillId="0" borderId="0" xfId="0" applyNumberFormat="1" applyFont="1" applyAlignment="1">
      <alignment horizontal="right" vertical="center"/>
    </xf>
    <xf numFmtId="3" fontId="6" fillId="3" borderId="0" xfId="0" applyNumberFormat="1" applyFont="1" applyFill="1" applyAlignment="1">
      <alignment horizontal="right" vertical="center"/>
    </xf>
    <xf numFmtId="3" fontId="48" fillId="3" borderId="0" xfId="0" applyNumberFormat="1" applyFont="1" applyFill="1" applyAlignment="1">
      <alignment horizontal="right" vertical="center"/>
    </xf>
    <xf numFmtId="0" fontId="43" fillId="3" borderId="0" xfId="0" applyFont="1" applyFill="1" applyAlignment="1">
      <alignment horizontal="left" vertical="center"/>
    </xf>
    <xf numFmtId="3" fontId="35" fillId="7" borderId="0" xfId="5" applyNumberFormat="1" applyFont="1" applyFill="1" applyAlignment="1">
      <alignment horizontal="right" vertical="center"/>
    </xf>
    <xf numFmtId="49" fontId="36" fillId="5" borderId="0" xfId="5" applyNumberFormat="1" applyFont="1" applyFill="1" applyAlignment="1">
      <alignment horizontal="left" vertical="center"/>
    </xf>
    <xf numFmtId="3" fontId="36" fillId="5" borderId="0" xfId="5" applyNumberFormat="1" applyFont="1" applyFill="1" applyAlignment="1">
      <alignment horizontal="right" vertical="center"/>
    </xf>
    <xf numFmtId="3" fontId="6" fillId="12" borderId="0" xfId="0" applyNumberFormat="1" applyFont="1" applyFill="1" applyAlignment="1">
      <alignment horizontal="right" vertical="center"/>
    </xf>
    <xf numFmtId="3" fontId="10" fillId="3" borderId="0" xfId="7" applyNumberFormat="1" applyFont="1" applyFill="1" applyAlignment="1">
      <alignment horizontal="right" vertical="center"/>
    </xf>
    <xf numFmtId="3" fontId="10" fillId="0" borderId="0" xfId="7" applyNumberFormat="1" applyFont="1" applyAlignment="1">
      <alignment horizontal="right" vertical="center"/>
    </xf>
    <xf numFmtId="3" fontId="3" fillId="3" borderId="0" xfId="7" applyNumberFormat="1" applyFont="1" applyFill="1" applyAlignment="1">
      <alignment horizontal="right" vertical="center" wrapText="1"/>
    </xf>
    <xf numFmtId="3" fontId="35" fillId="4" borderId="0" xfId="5" applyNumberFormat="1" applyFont="1" applyFill="1" applyAlignment="1">
      <alignment horizontal="right" vertical="center"/>
    </xf>
    <xf numFmtId="0" fontId="6" fillId="3" borderId="0" xfId="0" applyFont="1" applyFill="1" applyAlignment="1">
      <alignment horizontal="right" vertical="center"/>
    </xf>
    <xf numFmtId="37" fontId="49" fillId="3" borderId="0" xfId="7" applyNumberFormat="1" applyFont="1" applyFill="1" applyAlignment="1">
      <alignment vertical="center"/>
    </xf>
    <xf numFmtId="37" fontId="49" fillId="3" borderId="0" xfId="7" applyNumberFormat="1" applyFont="1" applyFill="1" applyAlignment="1">
      <alignment horizontal="left" vertical="center"/>
    </xf>
    <xf numFmtId="0" fontId="50" fillId="3" borderId="0" xfId="5" applyFont="1" applyFill="1" applyAlignment="1">
      <alignment horizontal="left" vertical="center"/>
    </xf>
    <xf numFmtId="0" fontId="44" fillId="3" borderId="0" xfId="7" applyFont="1" applyFill="1" applyAlignment="1">
      <alignment vertical="top"/>
    </xf>
    <xf numFmtId="0" fontId="42" fillId="3" borderId="0" xfId="5" applyFont="1" applyFill="1"/>
    <xf numFmtId="0" fontId="51" fillId="3" borderId="0" xfId="0" applyFont="1" applyFill="1"/>
    <xf numFmtId="3" fontId="52" fillId="3" borderId="0" xfId="0" applyNumberFormat="1" applyFont="1" applyFill="1" applyAlignment="1" applyProtection="1">
      <alignment horizontal="right"/>
      <protection locked="0"/>
    </xf>
    <xf numFmtId="0" fontId="39" fillId="3" borderId="0" xfId="0" applyFont="1" applyFill="1" applyAlignment="1" applyProtection="1">
      <alignment horizontal="right" vertical="center" wrapText="1"/>
      <protection locked="0"/>
    </xf>
    <xf numFmtId="0" fontId="39" fillId="3" borderId="0" xfId="0" applyFont="1" applyFill="1" applyAlignment="1" applyProtection="1">
      <alignment vertical="top" wrapText="1"/>
      <protection locked="0"/>
    </xf>
    <xf numFmtId="0" fontId="53" fillId="3" borderId="0" xfId="0" applyFont="1" applyFill="1" applyAlignment="1">
      <alignment horizontal="left" vertical="center" wrapText="1"/>
    </xf>
    <xf numFmtId="0" fontId="54" fillId="5" borderId="0" xfId="0" applyFont="1" applyFill="1" applyAlignment="1">
      <alignment vertical="center"/>
    </xf>
    <xf numFmtId="37" fontId="5" fillId="3" borderId="0" xfId="0" applyNumberFormat="1" applyFont="1" applyFill="1" applyAlignment="1" applyProtection="1">
      <alignment vertical="center" wrapText="1"/>
      <protection locked="0"/>
    </xf>
    <xf numFmtId="0" fontId="55" fillId="3" borderId="0" xfId="0" applyFont="1" applyFill="1" applyAlignment="1">
      <alignment vertical="center" wrapText="1"/>
    </xf>
    <xf numFmtId="0" fontId="55" fillId="3" borderId="0" xfId="0" applyFont="1" applyFill="1" applyAlignment="1">
      <alignment wrapText="1"/>
    </xf>
    <xf numFmtId="0" fontId="35" fillId="3" borderId="0" xfId="0" applyFont="1" applyFill="1"/>
    <xf numFmtId="0" fontId="56" fillId="3" borderId="0" xfId="4" applyFont="1" applyFill="1"/>
    <xf numFmtId="0" fontId="57" fillId="3" borderId="0" xfId="0" applyFont="1" applyFill="1" applyAlignment="1">
      <alignment wrapText="1"/>
    </xf>
    <xf numFmtId="0" fontId="47" fillId="3" borderId="0" xfId="0" applyFont="1" applyFill="1"/>
    <xf numFmtId="0" fontId="58" fillId="3" borderId="0" xfId="0" applyFont="1" applyFill="1"/>
    <xf numFmtId="0" fontId="12" fillId="14" borderId="0" xfId="4" quotePrefix="1" applyFont="1" applyFill="1" applyAlignment="1">
      <alignment horizontal="left" vertical="top"/>
    </xf>
    <xf numFmtId="0" fontId="15" fillId="14" borderId="0" xfId="4" quotePrefix="1" applyFont="1" applyFill="1" applyAlignment="1">
      <alignment horizontal="left"/>
    </xf>
    <xf numFmtId="0" fontId="35" fillId="3" borderId="0" xfId="0" applyFont="1" applyFill="1" applyAlignment="1">
      <alignment wrapText="1"/>
    </xf>
    <xf numFmtId="0" fontId="27" fillId="3" borderId="0" xfId="4" applyFill="1" applyAlignment="1">
      <alignment horizontal="left" vertical="center" wrapText="1" indent="1"/>
    </xf>
    <xf numFmtId="0" fontId="12" fillId="15" borderId="0" xfId="4" quotePrefix="1" applyFont="1" applyFill="1" applyAlignment="1">
      <alignment horizontal="left" vertical="top"/>
    </xf>
    <xf numFmtId="0" fontId="4" fillId="15" borderId="0" xfId="0" applyFont="1" applyFill="1" applyAlignment="1" applyProtection="1">
      <alignment horizontal="left"/>
      <protection locked="0"/>
    </xf>
    <xf numFmtId="0" fontId="59" fillId="3" borderId="0" xfId="4" applyFont="1" applyFill="1"/>
    <xf numFmtId="3" fontId="6" fillId="0" borderId="0" xfId="0" applyNumberFormat="1" applyFont="1" applyAlignment="1">
      <alignment horizontal="right" vertical="center"/>
    </xf>
    <xf numFmtId="0" fontId="0" fillId="3" borderId="0" xfId="0" applyFill="1" applyAlignment="1">
      <alignment wrapText="1"/>
    </xf>
    <xf numFmtId="37" fontId="59" fillId="3" borderId="0" xfId="4" applyNumberFormat="1" applyFont="1" applyFill="1" applyBorder="1" applyAlignment="1" applyProtection="1">
      <alignment vertical="top"/>
    </xf>
    <xf numFmtId="0" fontId="50" fillId="12" borderId="0" xfId="0" applyFont="1" applyFill="1" applyAlignment="1" applyProtection="1">
      <alignment horizontal="left" vertical="center" wrapText="1"/>
      <protection locked="0"/>
    </xf>
    <xf numFmtId="0" fontId="12" fillId="18" borderId="0" xfId="4" quotePrefix="1" applyFont="1" applyFill="1" applyAlignment="1">
      <alignment horizontal="left" vertical="top"/>
    </xf>
    <xf numFmtId="0" fontId="61" fillId="18" borderId="0" xfId="0" applyFont="1" applyFill="1" applyAlignment="1" applyProtection="1">
      <alignment horizontal="left" vertical="center"/>
      <protection locked="0"/>
    </xf>
    <xf numFmtId="0" fontId="47" fillId="18" borderId="0" xfId="0" applyFont="1" applyFill="1" applyAlignment="1" applyProtection="1">
      <alignment horizontal="right"/>
      <protection locked="0"/>
    </xf>
    <xf numFmtId="49" fontId="47" fillId="18" borderId="0" xfId="0" applyNumberFormat="1" applyFont="1" applyFill="1" applyAlignment="1" applyProtection="1">
      <alignment horizontal="right"/>
      <protection locked="0"/>
    </xf>
    <xf numFmtId="164" fontId="6" fillId="3" borderId="0" xfId="0" applyNumberFormat="1" applyFont="1" applyFill="1" applyAlignment="1">
      <alignment horizontal="right" vertical="center"/>
    </xf>
    <xf numFmtId="0" fontId="62" fillId="3" borderId="0" xfId="0" applyFont="1" applyFill="1" applyAlignment="1">
      <alignment horizontal="left"/>
    </xf>
    <xf numFmtId="49" fontId="35" fillId="3" borderId="0" xfId="5" applyNumberFormat="1" applyFont="1" applyFill="1" applyAlignment="1">
      <alignment horizontal="right"/>
    </xf>
    <xf numFmtId="0" fontId="52" fillId="3" borderId="0" xfId="5" applyFont="1" applyFill="1" applyAlignment="1">
      <alignment horizontal="right"/>
    </xf>
    <xf numFmtId="0" fontId="63" fillId="19" borderId="0" xfId="7" applyFont="1" applyFill="1" applyAlignment="1">
      <alignment horizontal="left" vertical="center"/>
    </xf>
    <xf numFmtId="49" fontId="63" fillId="19" borderId="0" xfId="7" applyNumberFormat="1" applyFont="1" applyFill="1" applyAlignment="1">
      <alignment horizontal="left" vertical="center"/>
    </xf>
    <xf numFmtId="0" fontId="63" fillId="19" borderId="0" xfId="7" applyFont="1" applyFill="1" applyAlignment="1">
      <alignment horizontal="right" vertical="center"/>
    </xf>
    <xf numFmtId="0" fontId="16" fillId="20" borderId="0" xfId="4" quotePrefix="1" applyFont="1" applyFill="1" applyAlignment="1" applyProtection="1">
      <alignment horizontal="left"/>
    </xf>
    <xf numFmtId="0" fontId="61" fillId="20" borderId="0" xfId="5" applyFont="1" applyFill="1" applyAlignment="1">
      <alignment horizontal="left" vertical="center"/>
    </xf>
    <xf numFmtId="0" fontId="47" fillId="20" borderId="0" xfId="5" applyFont="1" applyFill="1" applyAlignment="1">
      <alignment horizontal="right"/>
    </xf>
    <xf numFmtId="49" fontId="47" fillId="20" borderId="0" xfId="5" applyNumberFormat="1" applyFont="1" applyFill="1" applyAlignment="1">
      <alignment horizontal="right"/>
    </xf>
    <xf numFmtId="3" fontId="52" fillId="20" borderId="0" xfId="5" applyNumberFormat="1" applyFont="1" applyFill="1" applyAlignment="1">
      <alignment horizontal="right"/>
    </xf>
    <xf numFmtId="0" fontId="39" fillId="20" borderId="0" xfId="5" applyFont="1" applyFill="1" applyAlignment="1">
      <alignment horizontal="right" vertical="center" wrapText="1"/>
    </xf>
    <xf numFmtId="0" fontId="39" fillId="20" borderId="0" xfId="5" applyFont="1" applyFill="1" applyAlignment="1">
      <alignment vertical="top" wrapText="1"/>
    </xf>
    <xf numFmtId="0" fontId="63" fillId="19" borderId="0" xfId="0" applyFont="1" applyFill="1" applyAlignment="1" applyProtection="1">
      <alignment horizontal="left" vertical="center"/>
      <protection locked="0"/>
    </xf>
    <xf numFmtId="37" fontId="7" fillId="8" borderId="0" xfId="0" applyNumberFormat="1" applyFont="1" applyFill="1" applyAlignment="1">
      <alignment horizontal="left" vertical="center"/>
    </xf>
    <xf numFmtId="172" fontId="5" fillId="8" borderId="0" xfId="0" applyNumberFormat="1" applyFont="1" applyFill="1" applyAlignment="1">
      <alignment horizontal="right" vertical="center"/>
    </xf>
    <xf numFmtId="175" fontId="5" fillId="3" borderId="0" xfId="2" applyNumberFormat="1" applyFont="1" applyFill="1" applyAlignment="1" applyProtection="1">
      <alignment horizontal="right" vertical="center"/>
    </xf>
    <xf numFmtId="0" fontId="8" fillId="3" borderId="0" xfId="0" applyFont="1" applyFill="1" applyAlignment="1">
      <alignment horizontal="left" vertical="center" wrapText="1"/>
    </xf>
    <xf numFmtId="0" fontId="17" fillId="4" borderId="0" xfId="0" applyFont="1" applyFill="1" applyAlignment="1">
      <alignment horizontal="left" vertical="center"/>
    </xf>
    <xf numFmtId="37" fontId="6" fillId="3" borderId="0" xfId="0" applyNumberFormat="1" applyFont="1" applyFill="1" applyAlignment="1">
      <alignment horizontal="left" vertical="center" indent="4"/>
    </xf>
    <xf numFmtId="164" fontId="5" fillId="3" borderId="0" xfId="0" applyNumberFormat="1" applyFont="1" applyFill="1" applyAlignment="1" applyProtection="1">
      <alignment horizontal="right" vertical="center"/>
      <protection locked="0"/>
    </xf>
    <xf numFmtId="4" fontId="5" fillId="3" borderId="0" xfId="0" applyNumberFormat="1" applyFont="1" applyFill="1" applyAlignment="1" applyProtection="1">
      <alignment horizontal="right" vertical="center"/>
      <protection locked="0"/>
    </xf>
    <xf numFmtId="0" fontId="6" fillId="3" borderId="0" xfId="0" applyFont="1" applyFill="1" applyAlignment="1">
      <alignment horizontal="left" vertical="center" indent="4"/>
    </xf>
    <xf numFmtId="37" fontId="5" fillId="3" borderId="0" xfId="0" applyNumberFormat="1" applyFont="1" applyFill="1" applyAlignment="1">
      <alignment horizontal="left" vertical="center" indent="4"/>
    </xf>
    <xf numFmtId="37" fontId="5" fillId="3" borderId="0" xfId="0" applyNumberFormat="1" applyFont="1" applyFill="1" applyAlignment="1" applyProtection="1">
      <alignment horizontal="left" vertical="center" indent="2"/>
      <protection locked="0"/>
    </xf>
    <xf numFmtId="0" fontId="8" fillId="3" borderId="0" xfId="0" applyFont="1" applyFill="1" applyAlignment="1" applyProtection="1">
      <alignment horizontal="left" vertical="center"/>
      <protection locked="0"/>
    </xf>
    <xf numFmtId="37" fontId="7" fillId="9" borderId="0" xfId="0" applyNumberFormat="1" applyFont="1" applyFill="1" applyAlignment="1">
      <alignment horizontal="left" vertical="center" wrapText="1"/>
    </xf>
    <xf numFmtId="0" fontId="8" fillId="9" borderId="0" xfId="0" applyFont="1" applyFill="1" applyAlignment="1">
      <alignment horizontal="left" vertical="center"/>
    </xf>
    <xf numFmtId="0" fontId="17" fillId="21" borderId="0" xfId="0" applyFont="1" applyFill="1" applyAlignment="1" applyProtection="1">
      <alignment horizontal="left" vertical="center"/>
      <protection locked="0"/>
    </xf>
    <xf numFmtId="37" fontId="6" fillId="3" borderId="0" xfId="0" applyNumberFormat="1" applyFont="1" applyFill="1" applyAlignment="1">
      <alignment horizontal="left" vertical="center" indent="2"/>
    </xf>
    <xf numFmtId="0" fontId="8" fillId="12" borderId="0" xfId="0" applyFont="1" applyFill="1" applyAlignment="1">
      <alignment horizontal="left" vertical="center"/>
    </xf>
    <xf numFmtId="37" fontId="6" fillId="12" borderId="0" xfId="0" applyNumberFormat="1" applyFont="1" applyFill="1" applyAlignment="1" applyProtection="1">
      <alignment horizontal="left" vertical="center" indent="2"/>
      <protection locked="0"/>
    </xf>
    <xf numFmtId="0" fontId="8" fillId="12" borderId="0" xfId="0" applyFont="1" applyFill="1" applyAlignment="1" applyProtection="1">
      <alignment horizontal="left" vertical="center"/>
      <protection locked="0"/>
    </xf>
    <xf numFmtId="0" fontId="4" fillId="9" borderId="0" xfId="0" applyFont="1" applyFill="1" applyAlignment="1">
      <alignment horizontal="left" vertical="center"/>
    </xf>
    <xf numFmtId="3" fontId="5" fillId="8" borderId="0" xfId="0" applyNumberFormat="1" applyFont="1" applyFill="1" applyAlignment="1" applyProtection="1">
      <alignment horizontal="right" vertical="center"/>
      <protection locked="0"/>
    </xf>
    <xf numFmtId="37" fontId="6" fillId="12" borderId="0" xfId="0" applyNumberFormat="1" applyFont="1" applyFill="1" applyAlignment="1">
      <alignment horizontal="left" vertical="center" indent="2"/>
    </xf>
    <xf numFmtId="3" fontId="5" fillId="3" borderId="0" xfId="0" applyNumberFormat="1" applyFont="1" applyFill="1" applyAlignment="1" applyProtection="1">
      <alignment horizontal="right" vertical="center"/>
      <protection locked="0"/>
    </xf>
    <xf numFmtId="0" fontId="8" fillId="9" borderId="0" xfId="0" applyFont="1" applyFill="1" applyAlignment="1" applyProtection="1">
      <alignment horizontal="left" vertical="center" wrapText="1"/>
      <protection locked="0"/>
    </xf>
    <xf numFmtId="0" fontId="8" fillId="12" borderId="0" xfId="0" applyFont="1" applyFill="1" applyAlignment="1">
      <alignment horizontal="left" vertical="center" wrapText="1"/>
    </xf>
    <xf numFmtId="0" fontId="8" fillId="3" borderId="0" xfId="5" applyFont="1" applyFill="1" applyAlignment="1">
      <alignment horizontal="right" vertical="center" wrapText="1"/>
    </xf>
    <xf numFmtId="37" fontId="5" fillId="12" borderId="0" xfId="0" applyNumberFormat="1" applyFont="1" applyFill="1" applyAlignment="1" applyProtection="1">
      <alignment horizontal="left" vertical="center" indent="1"/>
      <protection locked="0"/>
    </xf>
    <xf numFmtId="0" fontId="8" fillId="12" borderId="0" xfId="0" applyFont="1" applyFill="1" applyAlignment="1" applyProtection="1">
      <alignment horizontal="left" vertical="center" wrapText="1"/>
      <protection locked="0"/>
    </xf>
    <xf numFmtId="37" fontId="5" fillId="12" borderId="0" xfId="0" applyNumberFormat="1" applyFont="1" applyFill="1" applyAlignment="1">
      <alignment horizontal="left" vertical="center" wrapText="1"/>
    </xf>
    <xf numFmtId="1" fontId="5" fillId="3" borderId="0" xfId="0" applyNumberFormat="1" applyFont="1" applyFill="1" applyAlignment="1">
      <alignment horizontal="right" vertical="center"/>
    </xf>
    <xf numFmtId="1" fontId="5" fillId="3" borderId="0" xfId="0" applyNumberFormat="1" applyFont="1" applyFill="1" applyAlignment="1" applyProtection="1">
      <alignment horizontal="right" vertical="center"/>
      <protection locked="0"/>
    </xf>
    <xf numFmtId="165" fontId="35" fillId="3" borderId="0" xfId="5" applyNumberFormat="1" applyFont="1" applyFill="1" applyAlignment="1">
      <alignment horizontal="right" vertical="center"/>
    </xf>
    <xf numFmtId="165" fontId="42" fillId="3" borderId="0" xfId="5" applyNumberFormat="1" applyFont="1" applyFill="1" applyAlignment="1">
      <alignment horizontal="right" vertical="center"/>
    </xf>
    <xf numFmtId="0" fontId="42" fillId="3" borderId="0" xfId="5" applyFont="1" applyFill="1" applyAlignment="1">
      <alignment horizontal="right" vertical="center"/>
    </xf>
    <xf numFmtId="0" fontId="4" fillId="8" borderId="0" xfId="0" applyFont="1" applyFill="1" applyAlignment="1">
      <alignment horizontal="left" vertical="center"/>
    </xf>
    <xf numFmtId="0" fontId="8" fillId="4" borderId="0" xfId="0" applyFont="1" applyFill="1" applyAlignment="1" applyProtection="1">
      <alignment horizontal="left" vertical="center"/>
      <protection locked="0"/>
    </xf>
    <xf numFmtId="37" fontId="6" fillId="3" borderId="0" xfId="0" applyNumberFormat="1" applyFont="1" applyFill="1" applyAlignment="1">
      <alignment horizontal="left" vertical="center" wrapText="1" indent="2"/>
    </xf>
    <xf numFmtId="164" fontId="5" fillId="7" borderId="0" xfId="0" applyNumberFormat="1" applyFont="1" applyFill="1" applyAlignment="1" applyProtection="1">
      <alignment horizontal="right" vertical="center"/>
      <protection locked="0"/>
    </xf>
    <xf numFmtId="0" fontId="6" fillId="7" borderId="0" xfId="5" applyFont="1" applyFill="1" applyAlignment="1">
      <alignment horizontal="right" vertical="center"/>
    </xf>
    <xf numFmtId="171" fontId="5" fillId="3" borderId="0" xfId="0" applyNumberFormat="1" applyFont="1" applyFill="1" applyAlignment="1">
      <alignment horizontal="right" vertical="center"/>
    </xf>
    <xf numFmtId="0" fontId="8" fillId="8" borderId="0" xfId="0" applyFont="1" applyFill="1" applyAlignment="1" applyProtection="1">
      <alignment horizontal="left" vertical="center" wrapText="1"/>
      <protection locked="0"/>
    </xf>
    <xf numFmtId="0" fontId="6" fillId="3" borderId="0" xfId="5" applyFont="1" applyFill="1" applyAlignment="1">
      <alignment horizontal="left" vertical="center"/>
    </xf>
    <xf numFmtId="3" fontId="6" fillId="7" borderId="0" xfId="0" applyNumberFormat="1" applyFont="1" applyFill="1" applyAlignment="1">
      <alignment horizontal="right" vertical="center"/>
    </xf>
    <xf numFmtId="165" fontId="46" fillId="3" borderId="0" xfId="0" applyNumberFormat="1" applyFont="1" applyFill="1" applyAlignment="1">
      <alignment horizontal="right" vertical="center"/>
    </xf>
    <xf numFmtId="165" fontId="46" fillId="7" borderId="0" xfId="0" applyNumberFormat="1" applyFont="1" applyFill="1" applyAlignment="1">
      <alignment horizontal="right" vertical="center"/>
    </xf>
    <xf numFmtId="37" fontId="18" fillId="3" borderId="0" xfId="0" applyNumberFormat="1" applyFont="1" applyFill="1" applyAlignment="1">
      <alignment horizontal="left" vertical="center" indent="4"/>
    </xf>
    <xf numFmtId="3" fontId="6" fillId="3" borderId="0" xfId="0" applyNumberFormat="1" applyFont="1" applyFill="1" applyAlignment="1" applyProtection="1">
      <alignment horizontal="right" vertical="center"/>
      <protection locked="0"/>
    </xf>
    <xf numFmtId="3" fontId="6" fillId="7" borderId="0" xfId="0" applyNumberFormat="1" applyFont="1" applyFill="1" applyAlignment="1" applyProtection="1">
      <alignment horizontal="right" vertical="center"/>
      <protection locked="0"/>
    </xf>
    <xf numFmtId="37" fontId="18" fillId="3" borderId="0" xfId="0" applyNumberFormat="1" applyFont="1" applyFill="1" applyAlignment="1">
      <alignment horizontal="left" vertical="center" wrapText="1" indent="5"/>
    </xf>
    <xf numFmtId="37" fontId="18" fillId="3" borderId="0" xfId="0" applyNumberFormat="1" applyFont="1" applyFill="1" applyAlignment="1">
      <alignment horizontal="left" vertical="center" wrapText="1" indent="4"/>
    </xf>
    <xf numFmtId="165" fontId="6" fillId="3" borderId="0" xfId="0" applyNumberFormat="1" applyFont="1" applyFill="1" applyAlignment="1" applyProtection="1">
      <alignment horizontal="right" vertical="center"/>
      <protection locked="0"/>
    </xf>
    <xf numFmtId="165" fontId="5" fillId="3" borderId="0" xfId="0" applyNumberFormat="1" applyFont="1" applyFill="1" applyAlignment="1">
      <alignment horizontal="right" vertical="center"/>
    </xf>
    <xf numFmtId="37" fontId="5" fillId="3" borderId="0" xfId="0" applyNumberFormat="1" applyFont="1" applyFill="1" applyAlignment="1">
      <alignment horizontal="left" vertical="top" indent="2"/>
    </xf>
    <xf numFmtId="37" fontId="6" fillId="3" borderId="0" xfId="0" applyNumberFormat="1" applyFont="1" applyFill="1" applyAlignment="1">
      <alignment vertical="center"/>
    </xf>
    <xf numFmtId="0" fontId="7" fillId="9" borderId="0" xfId="0" applyFont="1" applyFill="1" applyAlignment="1">
      <alignment horizontal="left" vertical="center"/>
    </xf>
    <xf numFmtId="0" fontId="8" fillId="9" borderId="0" xfId="0" applyFont="1" applyFill="1" applyAlignment="1" applyProtection="1">
      <alignment horizontal="left" vertical="center"/>
      <protection locked="0"/>
    </xf>
    <xf numFmtId="0" fontId="6" fillId="3" borderId="0" xfId="0" applyFont="1" applyFill="1" applyAlignment="1">
      <alignment horizontal="left" vertical="center" wrapText="1"/>
    </xf>
    <xf numFmtId="37" fontId="5" fillId="12" borderId="0" xfId="0" applyNumberFormat="1" applyFont="1" applyFill="1" applyAlignment="1">
      <alignment horizontal="left" vertical="center" indent="2"/>
    </xf>
    <xf numFmtId="0" fontId="8" fillId="21" borderId="0" xfId="0" applyFont="1" applyFill="1" applyAlignment="1" applyProtection="1">
      <alignment horizontal="left" vertical="center"/>
      <protection locked="0"/>
    </xf>
    <xf numFmtId="164" fontId="46" fillId="3" borderId="0" xfId="0" applyNumberFormat="1" applyFont="1" applyFill="1" applyAlignment="1">
      <alignment horizontal="right" vertical="center"/>
    </xf>
    <xf numFmtId="0" fontId="6" fillId="3" borderId="0" xfId="0" applyFont="1" applyFill="1" applyAlignment="1" applyProtection="1">
      <alignment horizontal="right" vertical="center"/>
      <protection locked="0"/>
    </xf>
    <xf numFmtId="37" fontId="5" fillId="12" borderId="0" xfId="0" applyNumberFormat="1" applyFont="1" applyFill="1" applyAlignment="1">
      <alignment horizontal="left" vertical="center" wrapText="1" indent="2"/>
    </xf>
    <xf numFmtId="2" fontId="46" fillId="3" borderId="0" xfId="0" applyNumberFormat="1" applyFont="1" applyFill="1" applyAlignment="1">
      <alignment horizontal="right" vertical="center"/>
    </xf>
    <xf numFmtId="37" fontId="5" fillId="12" borderId="0" xfId="0" applyNumberFormat="1" applyFont="1" applyFill="1" applyAlignment="1" applyProtection="1">
      <alignment horizontal="left" vertical="center" wrapText="1" indent="2"/>
      <protection locked="0"/>
    </xf>
    <xf numFmtId="0" fontId="42" fillId="3" borderId="0" xfId="5" applyFont="1" applyFill="1" applyAlignment="1">
      <alignment horizontal="left"/>
    </xf>
    <xf numFmtId="0" fontId="50" fillId="12" borderId="0" xfId="0" applyFont="1" applyFill="1" applyAlignment="1" applyProtection="1">
      <alignment horizontal="left" vertical="center"/>
      <protection locked="0"/>
    </xf>
    <xf numFmtId="0" fontId="26" fillId="3" borderId="0" xfId="0" applyFont="1" applyFill="1" applyAlignment="1">
      <alignment horizontal="left"/>
    </xf>
    <xf numFmtId="0" fontId="42" fillId="3" borderId="0" xfId="5" applyFont="1" applyFill="1" applyAlignment="1">
      <alignment horizontal="left" vertical="center"/>
    </xf>
    <xf numFmtId="0" fontId="6" fillId="3" borderId="0" xfId="0" applyFont="1" applyFill="1" applyAlignment="1">
      <alignment horizontal="left" vertical="center"/>
    </xf>
    <xf numFmtId="1" fontId="6" fillId="3" borderId="0" xfId="0" applyNumberFormat="1" applyFont="1" applyFill="1" applyAlignment="1" applyProtection="1">
      <alignment horizontal="right" vertical="center"/>
      <protection locked="0"/>
    </xf>
    <xf numFmtId="37" fontId="6" fillId="12" borderId="0" xfId="0" applyNumberFormat="1" applyFont="1" applyFill="1" applyAlignment="1">
      <alignment horizontal="left" vertical="center" wrapText="1" indent="2"/>
    </xf>
    <xf numFmtId="164" fontId="6" fillId="7" borderId="0" xfId="5" applyNumberFormat="1" applyFont="1" applyFill="1" applyAlignment="1">
      <alignment horizontal="right" vertical="center"/>
    </xf>
    <xf numFmtId="2" fontId="46" fillId="0" borderId="0" xfId="0" applyNumberFormat="1" applyFont="1" applyAlignment="1">
      <alignment horizontal="right" vertical="center"/>
    </xf>
    <xf numFmtId="1" fontId="46" fillId="3" borderId="0" xfId="0" applyNumberFormat="1" applyFont="1" applyFill="1" applyAlignment="1">
      <alignment horizontal="right" vertical="center"/>
    </xf>
    <xf numFmtId="0" fontId="6" fillId="12" borderId="0" xfId="0" applyFont="1" applyFill="1" applyAlignment="1">
      <alignment horizontal="left" vertical="center"/>
    </xf>
    <xf numFmtId="166" fontId="6" fillId="3" borderId="0" xfId="0" applyNumberFormat="1" applyFont="1" applyFill="1" applyAlignment="1" applyProtection="1">
      <alignment horizontal="right" vertical="center"/>
      <protection locked="0"/>
    </xf>
    <xf numFmtId="0" fontId="63" fillId="19" borderId="0" xfId="0" applyFont="1" applyFill="1" applyAlignment="1">
      <alignment horizontal="left" vertical="center"/>
    </xf>
    <xf numFmtId="164" fontId="5" fillId="8" borderId="0" xfId="0" applyNumberFormat="1" applyFont="1" applyFill="1" applyAlignment="1">
      <alignment horizontal="right" vertical="center"/>
    </xf>
    <xf numFmtId="171" fontId="5" fillId="3" borderId="0" xfId="0" applyNumberFormat="1" applyFont="1" applyFill="1" applyAlignment="1" applyProtection="1">
      <alignment horizontal="right" vertical="center"/>
      <protection locked="0"/>
    </xf>
    <xf numFmtId="171" fontId="5" fillId="7" borderId="0" xfId="0" applyNumberFormat="1" applyFont="1" applyFill="1" applyAlignment="1" applyProtection="1">
      <alignment horizontal="right" vertical="center"/>
      <protection locked="0"/>
    </xf>
    <xf numFmtId="171" fontId="5" fillId="7" borderId="0" xfId="0" applyNumberFormat="1" applyFont="1" applyFill="1" applyAlignment="1">
      <alignment horizontal="right" vertical="center"/>
    </xf>
    <xf numFmtId="37" fontId="18" fillId="12" borderId="0" xfId="0" applyNumberFormat="1" applyFont="1" applyFill="1" applyAlignment="1">
      <alignment horizontal="left" vertical="center" wrapText="1" indent="4"/>
    </xf>
    <xf numFmtId="174" fontId="5" fillId="3" borderId="0" xfId="0" applyNumberFormat="1" applyFont="1" applyFill="1" applyAlignment="1">
      <alignment horizontal="right" vertical="center"/>
    </xf>
    <xf numFmtId="174" fontId="5" fillId="3" borderId="0" xfId="0" applyNumberFormat="1" applyFont="1" applyFill="1" applyAlignment="1" applyProtection="1">
      <alignment horizontal="right" vertical="center"/>
      <protection locked="0"/>
    </xf>
    <xf numFmtId="37" fontId="5" fillId="12" borderId="0" xfId="0" applyNumberFormat="1" applyFont="1" applyFill="1" applyAlignment="1">
      <alignment horizontal="left" vertical="center"/>
    </xf>
    <xf numFmtId="165" fontId="5" fillId="8" borderId="0" xfId="0" applyNumberFormat="1" applyFont="1" applyFill="1" applyAlignment="1">
      <alignment horizontal="right" vertical="center"/>
    </xf>
    <xf numFmtId="0" fontId="8" fillId="21" borderId="0" xfId="0" applyFont="1" applyFill="1" applyAlignment="1">
      <alignment horizontal="left" vertical="center"/>
    </xf>
    <xf numFmtId="0" fontId="6" fillId="21" borderId="0" xfId="0" applyFont="1" applyFill="1" applyAlignment="1">
      <alignment horizontal="left" vertical="center" indent="2"/>
    </xf>
    <xf numFmtId="0" fontId="6" fillId="8" borderId="0" xfId="0" applyFont="1" applyFill="1" applyAlignment="1">
      <alignment horizontal="right" vertical="center"/>
    </xf>
    <xf numFmtId="0" fontId="44" fillId="3" borderId="0" xfId="7" applyFont="1" applyFill="1"/>
    <xf numFmtId="0" fontId="35" fillId="3" borderId="0" xfId="7" applyFont="1" applyFill="1" applyAlignment="1">
      <alignment horizontal="left" vertical="center"/>
    </xf>
    <xf numFmtId="0" fontId="35" fillId="3" borderId="0" xfId="7" applyFont="1" applyFill="1" applyAlignment="1">
      <alignment horizontal="right"/>
    </xf>
    <xf numFmtId="49" fontId="35" fillId="3" borderId="0" xfId="7" applyNumberFormat="1" applyFont="1" applyFill="1" applyAlignment="1">
      <alignment horizontal="right"/>
    </xf>
    <xf numFmtId="0" fontId="52" fillId="3" borderId="0" xfId="7" applyFont="1" applyFill="1" applyAlignment="1">
      <alignment horizontal="right"/>
    </xf>
    <xf numFmtId="0" fontId="35" fillId="3" borderId="0" xfId="7" applyFont="1" applyFill="1" applyAlignment="1">
      <alignment horizontal="center" vertical="top"/>
    </xf>
    <xf numFmtId="0" fontId="36" fillId="5" borderId="0" xfId="7" applyFont="1" applyFill="1" applyAlignment="1">
      <alignment horizontal="right" vertical="center"/>
    </xf>
    <xf numFmtId="49" fontId="36" fillId="5" borderId="0" xfId="7" applyNumberFormat="1" applyFont="1" applyFill="1" applyAlignment="1">
      <alignment horizontal="right" vertical="center"/>
    </xf>
    <xf numFmtId="0" fontId="35" fillId="3" borderId="0" xfId="7" applyFont="1" applyFill="1" applyAlignment="1">
      <alignment horizontal="right" vertical="top"/>
    </xf>
    <xf numFmtId="0" fontId="44" fillId="3" borderId="0" xfId="7" applyFont="1" applyFill="1" applyAlignment="1">
      <alignment vertical="center"/>
    </xf>
    <xf numFmtId="0" fontId="16" fillId="22" borderId="0" xfId="4" quotePrefix="1" applyFont="1" applyFill="1" applyAlignment="1" applyProtection="1">
      <alignment horizontal="left"/>
    </xf>
    <xf numFmtId="0" fontId="61" fillId="22" borderId="0" xfId="7" applyFont="1" applyFill="1" applyAlignment="1">
      <alignment horizontal="left" vertical="center"/>
    </xf>
    <xf numFmtId="0" fontId="47" fillId="22" borderId="0" xfId="7" applyFont="1" applyFill="1" applyAlignment="1">
      <alignment horizontal="right"/>
    </xf>
    <xf numFmtId="49" fontId="47" fillId="22" borderId="0" xfId="7" applyNumberFormat="1" applyFont="1" applyFill="1" applyAlignment="1">
      <alignment horizontal="right"/>
    </xf>
    <xf numFmtId="3" fontId="52" fillId="22" borderId="0" xfId="7" applyNumberFormat="1" applyFont="1" applyFill="1" applyAlignment="1">
      <alignment horizontal="right"/>
    </xf>
    <xf numFmtId="0" fontId="39" fillId="22" borderId="0" xfId="7" applyFont="1" applyFill="1" applyAlignment="1">
      <alignment horizontal="right" vertical="center" wrapText="1"/>
    </xf>
    <xf numFmtId="0" fontId="39" fillId="22" borderId="0" xfId="7" applyFont="1" applyFill="1" applyAlignment="1">
      <alignment vertical="top" wrapText="1"/>
    </xf>
    <xf numFmtId="0" fontId="42" fillId="5" borderId="0" xfId="7" applyFont="1" applyFill="1" applyAlignment="1">
      <alignment vertical="center"/>
    </xf>
    <xf numFmtId="49" fontId="36" fillId="6" borderId="0" xfId="7" applyNumberFormat="1" applyFont="1" applyFill="1" applyAlignment="1">
      <alignment horizontal="left" vertical="center"/>
    </xf>
    <xf numFmtId="0" fontId="36" fillId="6" borderId="0" xfId="7" applyFont="1" applyFill="1" applyAlignment="1">
      <alignment horizontal="right" vertical="center"/>
    </xf>
    <xf numFmtId="49" fontId="36" fillId="6" borderId="0" xfId="7" applyNumberFormat="1" applyFont="1" applyFill="1" applyAlignment="1">
      <alignment horizontal="right" vertical="center"/>
    </xf>
    <xf numFmtId="0" fontId="36" fillId="5" borderId="0" xfId="0" applyFont="1" applyFill="1" applyAlignment="1">
      <alignment horizontal="left" vertical="center"/>
    </xf>
    <xf numFmtId="0" fontId="8" fillId="3" borderId="0" xfId="0" applyFont="1" applyFill="1" applyAlignment="1">
      <alignment horizontal="right" vertical="center" wrapText="1"/>
    </xf>
    <xf numFmtId="0" fontId="7" fillId="8" borderId="0" xfId="0" applyFont="1" applyFill="1" applyAlignment="1">
      <alignment horizontal="left" vertical="center"/>
    </xf>
    <xf numFmtId="3" fontId="6" fillId="8" borderId="0" xfId="0" applyNumberFormat="1" applyFont="1" applyFill="1" applyAlignment="1">
      <alignment horizontal="right" vertical="center"/>
    </xf>
    <xf numFmtId="37" fontId="5" fillId="3" borderId="0" xfId="0" applyNumberFormat="1" applyFont="1" applyFill="1" applyAlignment="1">
      <alignment horizontal="left" vertical="center" wrapText="1"/>
    </xf>
    <xf numFmtId="0" fontId="8" fillId="3" borderId="0" xfId="0" applyFont="1" applyFill="1" applyAlignment="1">
      <alignment horizontal="right" vertical="center"/>
    </xf>
    <xf numFmtId="49" fontId="8" fillId="3" borderId="0" xfId="0" applyNumberFormat="1" applyFont="1" applyFill="1" applyAlignment="1">
      <alignment horizontal="right" vertical="center"/>
    </xf>
    <xf numFmtId="1" fontId="5" fillId="7" borderId="0" xfId="0" applyNumberFormat="1" applyFont="1" applyFill="1" applyAlignment="1">
      <alignment horizontal="right" vertical="center"/>
    </xf>
    <xf numFmtId="0" fontId="35" fillId="3" borderId="0" xfId="0" applyFont="1" applyFill="1" applyAlignment="1">
      <alignment horizontal="right" vertical="center"/>
    </xf>
    <xf numFmtId="0" fontId="61" fillId="3" borderId="0" xfId="0" applyFont="1" applyFill="1" applyAlignment="1">
      <alignment horizontal="left" vertical="center"/>
    </xf>
    <xf numFmtId="173" fontId="6" fillId="3" borderId="0" xfId="0" applyNumberFormat="1" applyFont="1" applyFill="1" applyAlignment="1">
      <alignment horizontal="right" vertical="center"/>
    </xf>
    <xf numFmtId="0" fontId="6" fillId="4" borderId="0" xfId="0" applyFont="1" applyFill="1" applyAlignment="1">
      <alignment horizontal="left" vertical="center" indent="1"/>
    </xf>
    <xf numFmtId="0" fontId="6" fillId="3" borderId="0" xfId="0" applyFont="1" applyFill="1" applyAlignment="1">
      <alignment horizontal="left" vertical="center" wrapText="1" indent="2"/>
    </xf>
    <xf numFmtId="37" fontId="18" fillId="3" borderId="0" xfId="5" applyNumberFormat="1" applyFont="1" applyFill="1" applyAlignment="1">
      <alignment horizontal="left" vertical="center" indent="4"/>
    </xf>
    <xf numFmtId="0" fontId="64" fillId="3" borderId="0" xfId="0" applyFont="1" applyFill="1" applyAlignment="1">
      <alignment horizontal="left" vertical="center"/>
    </xf>
    <xf numFmtId="165" fontId="6" fillId="3" borderId="0" xfId="0" applyNumberFormat="1" applyFont="1" applyFill="1" applyAlignment="1">
      <alignment horizontal="right" vertical="center" wrapText="1"/>
    </xf>
    <xf numFmtId="3" fontId="6" fillId="3" borderId="0" xfId="0" applyNumberFormat="1" applyFont="1" applyFill="1" applyAlignment="1">
      <alignment horizontal="right" vertical="center" wrapText="1"/>
    </xf>
    <xf numFmtId="175" fontId="6" fillId="3" borderId="0" xfId="0" applyNumberFormat="1" applyFont="1" applyFill="1" applyAlignment="1">
      <alignment horizontal="right" vertical="center" wrapText="1"/>
    </xf>
    <xf numFmtId="182" fontId="6" fillId="3" borderId="0" xfId="0" applyNumberFormat="1" applyFont="1" applyFill="1" applyAlignment="1">
      <alignment horizontal="right" vertical="center" wrapText="1"/>
    </xf>
    <xf numFmtId="0" fontId="7" fillId="8" borderId="0" xfId="0" applyFont="1" applyFill="1" applyAlignment="1">
      <alignment horizontal="left" vertical="center" wrapText="1"/>
    </xf>
    <xf numFmtId="0" fontId="8" fillId="8" borderId="0" xfId="0" applyFont="1" applyFill="1" applyAlignment="1">
      <alignment horizontal="left" vertical="center" wrapText="1"/>
    </xf>
    <xf numFmtId="164" fontId="5" fillId="3" borderId="0" xfId="0" applyNumberFormat="1" applyFont="1" applyFill="1" applyAlignment="1">
      <alignment horizontal="right" vertical="center" wrapText="1"/>
    </xf>
    <xf numFmtId="37" fontId="3" fillId="3" borderId="0" xfId="7" applyNumberFormat="1" applyFont="1" applyFill="1" applyAlignment="1">
      <alignment vertical="center" wrapText="1"/>
    </xf>
    <xf numFmtId="165" fontId="46" fillId="8" borderId="0" xfId="0" applyNumberFormat="1" applyFont="1" applyFill="1" applyAlignment="1">
      <alignment horizontal="right" vertical="center"/>
    </xf>
    <xf numFmtId="165" fontId="6" fillId="8" borderId="0" xfId="7" applyNumberFormat="1" applyFont="1" applyFill="1" applyAlignment="1">
      <alignment horizontal="right" vertical="center"/>
    </xf>
    <xf numFmtId="0" fontId="8" fillId="3" borderId="0" xfId="7" applyFont="1" applyFill="1" applyAlignment="1">
      <alignment horizontal="right" vertical="center" wrapText="1"/>
    </xf>
    <xf numFmtId="165" fontId="46" fillId="4" borderId="0" xfId="0" applyNumberFormat="1" applyFont="1" applyFill="1" applyAlignment="1">
      <alignment horizontal="right" vertical="center"/>
    </xf>
    <xf numFmtId="49" fontId="8" fillId="3" borderId="0" xfId="7" applyNumberFormat="1" applyFont="1" applyFill="1" applyAlignment="1">
      <alignment horizontal="right" vertical="center" wrapText="1"/>
    </xf>
    <xf numFmtId="37" fontId="10" fillId="3" borderId="0" xfId="7" applyNumberFormat="1" applyFont="1" applyFill="1" applyAlignment="1">
      <alignment horizontal="left" vertical="center" wrapText="1"/>
    </xf>
    <xf numFmtId="37" fontId="3" fillId="3" borderId="0" xfId="7" applyNumberFormat="1" applyFont="1" applyFill="1" applyAlignment="1">
      <alignment horizontal="left" vertical="center" wrapText="1"/>
    </xf>
    <xf numFmtId="167" fontId="5" fillId="8" borderId="0" xfId="0" applyNumberFormat="1" applyFont="1" applyFill="1" applyAlignment="1">
      <alignment horizontal="right" vertical="center"/>
    </xf>
    <xf numFmtId="3" fontId="5" fillId="8" borderId="0" xfId="0" applyNumberFormat="1" applyFont="1" applyFill="1" applyAlignment="1">
      <alignment horizontal="right" vertical="center"/>
    </xf>
    <xf numFmtId="164" fontId="46" fillId="4" borderId="0" xfId="0" applyNumberFormat="1" applyFont="1" applyFill="1" applyAlignment="1">
      <alignment horizontal="right" vertical="center"/>
    </xf>
    <xf numFmtId="167" fontId="52" fillId="4" borderId="0" xfId="0" applyNumberFormat="1" applyFont="1" applyFill="1" applyAlignment="1">
      <alignment horizontal="right" vertical="center"/>
    </xf>
    <xf numFmtId="3" fontId="5" fillId="3" borderId="0" xfId="0" applyNumberFormat="1" applyFont="1" applyFill="1" applyAlignment="1">
      <alignment horizontal="right" vertical="center"/>
    </xf>
    <xf numFmtId="3" fontId="6" fillId="7" borderId="0" xfId="7" applyNumberFormat="1" applyFont="1" applyFill="1" applyAlignment="1">
      <alignment horizontal="right" vertical="center"/>
    </xf>
    <xf numFmtId="49" fontId="20" fillId="3" borderId="0" xfId="7" applyNumberFormat="1" applyFont="1" applyFill="1" applyAlignment="1">
      <alignment horizontal="right" vertical="center"/>
    </xf>
    <xf numFmtId="167" fontId="6" fillId="8" borderId="0" xfId="0" applyNumberFormat="1" applyFont="1" applyFill="1" applyAlignment="1">
      <alignment horizontal="right" vertical="center"/>
    </xf>
    <xf numFmtId="172" fontId="5" fillId="4" borderId="0" xfId="0" applyNumberFormat="1" applyFont="1" applyFill="1" applyAlignment="1">
      <alignment horizontal="right" vertical="center"/>
    </xf>
    <xf numFmtId="0" fontId="6" fillId="3" borderId="0" xfId="5" applyFont="1" applyFill="1" applyAlignment="1">
      <alignment horizontal="left" vertical="center" indent="2"/>
    </xf>
    <xf numFmtId="172" fontId="5" fillId="3" borderId="0" xfId="0" applyNumberFormat="1" applyFont="1" applyFill="1" applyAlignment="1">
      <alignment horizontal="right" vertical="center"/>
    </xf>
    <xf numFmtId="166" fontId="8" fillId="3" borderId="0" xfId="7" applyNumberFormat="1" applyFont="1" applyFill="1" applyAlignment="1">
      <alignment horizontal="right" vertical="center" wrapText="1"/>
    </xf>
    <xf numFmtId="3" fontId="5" fillId="3" borderId="0" xfId="0" applyNumberFormat="1" applyFont="1" applyFill="1" applyAlignment="1">
      <alignment horizontal="right" vertical="center" wrapText="1"/>
    </xf>
    <xf numFmtId="0" fontId="44" fillId="3" borderId="0" xfId="7" quotePrefix="1" applyFont="1" applyFill="1" applyAlignment="1">
      <alignment vertical="top"/>
    </xf>
    <xf numFmtId="0" fontId="47" fillId="4" borderId="0" xfId="0" applyFont="1" applyFill="1" applyAlignment="1">
      <alignment horizontal="right" vertical="center"/>
    </xf>
    <xf numFmtId="3" fontId="35" fillId="3" borderId="0" xfId="0" applyNumberFormat="1" applyFont="1" applyFill="1" applyAlignment="1">
      <alignment horizontal="right" vertical="center"/>
    </xf>
    <xf numFmtId="3" fontId="35" fillId="7" borderId="0" xfId="0" applyNumberFormat="1" applyFont="1" applyFill="1" applyAlignment="1">
      <alignment horizontal="right" vertical="center"/>
    </xf>
    <xf numFmtId="3" fontId="35" fillId="3" borderId="0" xfId="0" applyNumberFormat="1" applyFont="1" applyFill="1" applyAlignment="1">
      <alignment vertical="center"/>
    </xf>
    <xf numFmtId="3" fontId="35" fillId="4" borderId="0" xfId="0" applyNumberFormat="1" applyFont="1" applyFill="1" applyAlignment="1">
      <alignment horizontal="right" vertical="center"/>
    </xf>
    <xf numFmtId="0" fontId="6" fillId="3" borderId="0" xfId="0" applyFont="1" applyFill="1" applyAlignment="1">
      <alignment horizontal="left" vertical="center" wrapText="1" indent="1"/>
    </xf>
    <xf numFmtId="0" fontId="65" fillId="3" borderId="0" xfId="0" applyFont="1" applyFill="1" applyAlignment="1">
      <alignment horizontal="left" vertical="center"/>
    </xf>
    <xf numFmtId="3" fontId="35" fillId="8" borderId="0" xfId="0" applyNumberFormat="1" applyFont="1" applyFill="1" applyAlignment="1">
      <alignment horizontal="right" vertical="center"/>
    </xf>
    <xf numFmtId="0" fontId="66" fillId="4" borderId="0" xfId="0" applyFont="1" applyFill="1" applyAlignment="1">
      <alignment horizontal="left" vertical="center"/>
    </xf>
    <xf numFmtId="1" fontId="46" fillId="4" borderId="0" xfId="0" applyNumberFormat="1" applyFont="1" applyFill="1" applyAlignment="1">
      <alignment horizontal="right" vertical="center"/>
    </xf>
    <xf numFmtId="2" fontId="47" fillId="4" borderId="0" xfId="0" applyNumberFormat="1" applyFont="1" applyFill="1" applyAlignment="1">
      <alignment horizontal="right" vertical="center"/>
    </xf>
    <xf numFmtId="0" fontId="11" fillId="8" borderId="0" xfId="0" applyFont="1" applyFill="1" applyAlignment="1">
      <alignment horizontal="left" vertical="center"/>
    </xf>
    <xf numFmtId="1" fontId="46" fillId="8" borderId="0" xfId="0" applyNumberFormat="1" applyFont="1" applyFill="1" applyAlignment="1">
      <alignment horizontal="right" vertical="center"/>
    </xf>
    <xf numFmtId="164" fontId="46" fillId="8" borderId="0" xfId="0" applyNumberFormat="1" applyFont="1" applyFill="1" applyAlignment="1">
      <alignment horizontal="right" vertical="center"/>
    </xf>
    <xf numFmtId="2" fontId="35" fillId="8" borderId="0" xfId="0" applyNumberFormat="1" applyFont="1" applyFill="1" applyAlignment="1">
      <alignment horizontal="right" vertical="center"/>
    </xf>
    <xf numFmtId="2" fontId="35" fillId="3" borderId="0" xfId="0" applyNumberFormat="1" applyFont="1" applyFill="1" applyAlignment="1">
      <alignment horizontal="right" vertical="center"/>
    </xf>
    <xf numFmtId="2" fontId="35" fillId="7" borderId="0" xfId="0" applyNumberFormat="1" applyFont="1" applyFill="1" applyAlignment="1">
      <alignment horizontal="right" vertical="center"/>
    </xf>
    <xf numFmtId="0" fontId="11" fillId="3" borderId="0" xfId="0" applyFont="1" applyFill="1" applyAlignment="1">
      <alignment horizontal="left" vertical="center" wrapText="1"/>
    </xf>
    <xf numFmtId="165" fontId="6" fillId="3" borderId="0" xfId="7" applyNumberFormat="1" applyFont="1" applyFill="1" applyAlignment="1">
      <alignment horizontal="right" vertical="center" wrapText="1"/>
    </xf>
    <xf numFmtId="164" fontId="5" fillId="4" borderId="0" xfId="0" applyNumberFormat="1" applyFont="1" applyFill="1" applyAlignment="1">
      <alignment horizontal="right" vertical="center"/>
    </xf>
    <xf numFmtId="3" fontId="5" fillId="4" borderId="0" xfId="0" applyNumberFormat="1" applyFont="1" applyFill="1" applyAlignment="1">
      <alignment horizontal="right" vertical="center"/>
    </xf>
    <xf numFmtId="9" fontId="3" fillId="4" borderId="0" xfId="6" applyFont="1" applyFill="1" applyAlignment="1" applyProtection="1">
      <alignment horizontal="right" vertical="center" wrapText="1"/>
    </xf>
    <xf numFmtId="9" fontId="3" fillId="3" borderId="0" xfId="6" applyFont="1" applyFill="1" applyBorder="1" applyAlignment="1" applyProtection="1">
      <alignment horizontal="right" vertical="center" wrapText="1"/>
    </xf>
    <xf numFmtId="0" fontId="8" fillId="4" borderId="0" xfId="0" applyFont="1" applyFill="1" applyAlignment="1">
      <alignment horizontal="left" vertical="center" wrapText="1"/>
    </xf>
    <xf numFmtId="164" fontId="5" fillId="4" borderId="0" xfId="0" applyNumberFormat="1" applyFont="1" applyFill="1" applyAlignment="1">
      <alignment horizontal="right" vertical="center" wrapText="1"/>
    </xf>
    <xf numFmtId="165" fontId="6" fillId="4" borderId="0" xfId="7" applyNumberFormat="1" applyFont="1" applyFill="1" applyAlignment="1">
      <alignment horizontal="right" vertical="center" wrapText="1"/>
    </xf>
    <xf numFmtId="0" fontId="5" fillId="3" borderId="0" xfId="0" applyFont="1" applyFill="1" applyAlignment="1">
      <alignment horizontal="left" vertical="center" indent="2"/>
    </xf>
    <xf numFmtId="1" fontId="6" fillId="3" borderId="0" xfId="0" applyNumberFormat="1" applyFont="1" applyFill="1" applyAlignment="1">
      <alignment horizontal="right" vertical="center"/>
    </xf>
    <xf numFmtId="39" fontId="5" fillId="3" borderId="0" xfId="0" applyNumberFormat="1" applyFont="1" applyFill="1" applyAlignment="1">
      <alignment horizontal="left" vertical="center"/>
    </xf>
    <xf numFmtId="0" fontId="36" fillId="5" borderId="0" xfId="0" applyFont="1" applyFill="1" applyAlignment="1">
      <alignment horizontal="left" vertical="center" wrapText="1"/>
    </xf>
    <xf numFmtId="37" fontId="8" fillId="3" borderId="0" xfId="0" applyNumberFormat="1" applyFont="1" applyFill="1" applyAlignment="1">
      <alignment horizontal="right" vertical="center" wrapText="1"/>
    </xf>
    <xf numFmtId="165" fontId="5" fillId="7" borderId="0" xfId="0" applyNumberFormat="1" applyFont="1" applyFill="1" applyAlignment="1">
      <alignment horizontal="right" vertical="center"/>
    </xf>
    <xf numFmtId="9" fontId="8" fillId="3" borderId="0" xfId="6" applyFont="1" applyFill="1" applyAlignment="1" applyProtection="1">
      <alignment horizontal="right" vertical="center"/>
    </xf>
    <xf numFmtId="0" fontId="5" fillId="3" borderId="0" xfId="0" applyFont="1" applyFill="1" applyAlignment="1">
      <alignment horizontal="right" vertical="center"/>
    </xf>
    <xf numFmtId="39" fontId="5" fillId="3" borderId="0" xfId="0" applyNumberFormat="1" applyFont="1" applyFill="1" applyAlignment="1">
      <alignment horizontal="left" vertical="center" wrapText="1"/>
    </xf>
    <xf numFmtId="0" fontId="35" fillId="3" borderId="3" xfId="0" applyFont="1" applyFill="1" applyBorder="1" applyAlignment="1">
      <alignment horizontal="left" vertical="center"/>
    </xf>
    <xf numFmtId="0" fontId="35" fillId="3" borderId="3" xfId="0" applyFont="1" applyFill="1" applyBorder="1" applyAlignment="1">
      <alignment horizontal="right"/>
    </xf>
    <xf numFmtId="0" fontId="52" fillId="3" borderId="3" xfId="0" applyFont="1" applyFill="1" applyBorder="1" applyAlignment="1">
      <alignment horizontal="right"/>
    </xf>
    <xf numFmtId="37" fontId="10" fillId="3" borderId="0" xfId="7" applyNumberFormat="1" applyFont="1" applyFill="1" applyAlignment="1">
      <alignment vertical="top"/>
    </xf>
    <xf numFmtId="0" fontId="42" fillId="3" borderId="0" xfId="7" applyFont="1" applyFill="1"/>
    <xf numFmtId="0" fontId="16" fillId="23" borderId="0" xfId="4" quotePrefix="1" applyFont="1" applyFill="1" applyAlignment="1" applyProtection="1">
      <alignment horizontal="left"/>
    </xf>
    <xf numFmtId="0" fontId="61" fillId="23" borderId="0" xfId="5" applyFont="1" applyFill="1" applyAlignment="1">
      <alignment horizontal="left" vertical="center"/>
    </xf>
    <xf numFmtId="0" fontId="47" fillId="23" borderId="0" xfId="5" applyFont="1" applyFill="1" applyAlignment="1">
      <alignment horizontal="right"/>
    </xf>
    <xf numFmtId="49" fontId="47" fillId="23" borderId="0" xfId="5" applyNumberFormat="1" applyFont="1" applyFill="1" applyAlignment="1">
      <alignment horizontal="right"/>
    </xf>
    <xf numFmtId="3" fontId="52" fillId="23" borderId="0" xfId="5" applyNumberFormat="1" applyFont="1" applyFill="1" applyAlignment="1">
      <alignment horizontal="right"/>
    </xf>
    <xf numFmtId="0" fontId="39" fillId="23" borderId="0" xfId="5" applyFont="1" applyFill="1" applyAlignment="1">
      <alignment horizontal="right" vertical="center" wrapText="1"/>
    </xf>
    <xf numFmtId="0" fontId="39" fillId="23" borderId="0" xfId="5" applyFont="1" applyFill="1" applyAlignment="1">
      <alignment vertical="top" wrapText="1"/>
    </xf>
    <xf numFmtId="3" fontId="41" fillId="5" borderId="0" xfId="5" applyNumberFormat="1" applyFont="1" applyFill="1" applyAlignment="1">
      <alignment horizontal="right" vertical="center"/>
    </xf>
    <xf numFmtId="0" fontId="6" fillId="4" borderId="0" xfId="5" applyFont="1" applyFill="1" applyAlignment="1">
      <alignment horizontal="left" vertical="center" wrapText="1" indent="2"/>
    </xf>
    <xf numFmtId="3" fontId="6" fillId="0" borderId="0" xfId="5" applyNumberFormat="1" applyFont="1" applyAlignment="1">
      <alignment horizontal="right" vertical="center"/>
    </xf>
    <xf numFmtId="3" fontId="52" fillId="4" borderId="0" xfId="5" applyNumberFormat="1" applyFont="1" applyFill="1" applyAlignment="1">
      <alignment horizontal="right" vertical="center"/>
    </xf>
    <xf numFmtId="37" fontId="18" fillId="3" borderId="0" xfId="0" applyNumberFormat="1" applyFont="1" applyFill="1" applyAlignment="1">
      <alignment horizontal="left" vertical="center" indent="6"/>
    </xf>
    <xf numFmtId="37" fontId="18" fillId="3" borderId="0" xfId="5" applyNumberFormat="1" applyFont="1" applyFill="1" applyAlignment="1">
      <alignment horizontal="left" vertical="center" indent="6"/>
    </xf>
    <xf numFmtId="3" fontId="42" fillId="3" borderId="0" xfId="5" applyNumberFormat="1" applyFont="1" applyFill="1" applyAlignment="1">
      <alignment horizontal="right" vertical="center"/>
    </xf>
    <xf numFmtId="3" fontId="3" fillId="3" borderId="0" xfId="7" applyNumberFormat="1" applyFont="1" applyFill="1" applyAlignment="1">
      <alignment horizontal="left" vertical="center" wrapText="1"/>
    </xf>
    <xf numFmtId="0" fontId="7" fillId="8" borderId="0" xfId="5" applyFont="1" applyFill="1" applyAlignment="1">
      <alignment horizontal="left" vertical="center"/>
    </xf>
    <xf numFmtId="3" fontId="35" fillId="8" borderId="0" xfId="5" applyNumberFormat="1" applyFont="1" applyFill="1" applyAlignment="1">
      <alignment horizontal="right" vertical="center"/>
    </xf>
    <xf numFmtId="3" fontId="35" fillId="0" borderId="0" xfId="5" applyNumberFormat="1" applyFont="1" applyAlignment="1">
      <alignment horizontal="right" vertical="center"/>
    </xf>
    <xf numFmtId="3" fontId="52" fillId="0" borderId="0" xfId="5" applyNumberFormat="1" applyFont="1" applyAlignment="1">
      <alignment horizontal="right" vertical="center"/>
    </xf>
    <xf numFmtId="0" fontId="35" fillId="0" borderId="0" xfId="5" applyFont="1"/>
    <xf numFmtId="0" fontId="67" fillId="5" borderId="0" xfId="5" applyFont="1" applyFill="1" applyAlignment="1">
      <alignment horizontal="left" vertical="center"/>
    </xf>
    <xf numFmtId="3" fontId="52" fillId="3" borderId="0" xfId="5" applyNumberFormat="1" applyFont="1" applyFill="1" applyAlignment="1">
      <alignment horizontal="right" vertical="center"/>
    </xf>
    <xf numFmtId="173" fontId="6" fillId="3" borderId="0" xfId="5" applyNumberFormat="1" applyFont="1" applyFill="1" applyAlignment="1">
      <alignment horizontal="right" vertical="center"/>
    </xf>
    <xf numFmtId="3" fontId="6" fillId="8" borderId="0" xfId="5" applyNumberFormat="1" applyFont="1" applyFill="1" applyAlignment="1">
      <alignment horizontal="right" vertical="center"/>
    </xf>
    <xf numFmtId="37" fontId="5" fillId="3" borderId="0" xfId="5" applyNumberFormat="1" applyFont="1" applyFill="1" applyAlignment="1">
      <alignment horizontal="left" vertical="center"/>
    </xf>
    <xf numFmtId="3" fontId="3" fillId="3" borderId="0" xfId="7" applyNumberFormat="1" applyFont="1" applyFill="1" applyAlignment="1">
      <alignment vertical="center" wrapText="1"/>
    </xf>
    <xf numFmtId="0" fontId="48" fillId="9" borderId="0" xfId="0" applyFont="1" applyFill="1" applyAlignment="1">
      <alignment horizontal="right" vertical="center"/>
    </xf>
    <xf numFmtId="0" fontId="6" fillId="9" borderId="0" xfId="0" applyFont="1" applyFill="1" applyAlignment="1">
      <alignment horizontal="right" vertical="center"/>
    </xf>
    <xf numFmtId="0" fontId="48" fillId="21" borderId="0" xfId="0" applyFont="1" applyFill="1" applyAlignment="1">
      <alignment horizontal="right" vertical="center"/>
    </xf>
    <xf numFmtId="0" fontId="6" fillId="21" borderId="0" xfId="0" applyFont="1" applyFill="1" applyAlignment="1">
      <alignment horizontal="right" vertical="center"/>
    </xf>
    <xf numFmtId="39" fontId="6" fillId="3" borderId="0" xfId="5" applyNumberFormat="1" applyFont="1" applyFill="1" applyAlignment="1">
      <alignment horizontal="left" vertical="center" indent="1"/>
    </xf>
    <xf numFmtId="37" fontId="6" fillId="3" borderId="0" xfId="5" applyNumberFormat="1" applyFont="1" applyFill="1" applyAlignment="1">
      <alignment vertical="center"/>
    </xf>
    <xf numFmtId="0" fontId="43" fillId="3" borderId="0" xfId="5" applyFont="1" applyFill="1" applyAlignment="1">
      <alignment horizontal="left" vertical="center" wrapText="1"/>
    </xf>
    <xf numFmtId="173" fontId="35" fillId="3" borderId="0" xfId="5" applyNumberFormat="1" applyFont="1" applyFill="1" applyAlignment="1">
      <alignment horizontal="right" vertical="center"/>
    </xf>
    <xf numFmtId="0" fontId="7" fillId="8" borderId="0" xfId="5" applyFont="1" applyFill="1" applyAlignment="1">
      <alignment horizontal="left" vertical="center" wrapText="1"/>
    </xf>
    <xf numFmtId="0" fontId="68" fillId="8" borderId="0" xfId="5" applyFont="1" applyFill="1" applyAlignment="1">
      <alignment horizontal="left" vertical="center"/>
    </xf>
    <xf numFmtId="0" fontId="35" fillId="3" borderId="0" xfId="5" applyFont="1" applyFill="1" applyAlignment="1">
      <alignment horizontal="left" vertical="center" wrapText="1" indent="2"/>
    </xf>
    <xf numFmtId="37" fontId="6" fillId="3" borderId="0" xfId="5" applyNumberFormat="1" applyFont="1" applyFill="1" applyAlignment="1">
      <alignment vertical="center" wrapText="1"/>
    </xf>
    <xf numFmtId="167" fontId="6" fillId="3" borderId="0" xfId="5" applyNumberFormat="1" applyFont="1" applyFill="1" applyAlignment="1">
      <alignment horizontal="right" vertical="center"/>
    </xf>
    <xf numFmtId="37" fontId="49" fillId="3" borderId="0" xfId="7" applyNumberFormat="1" applyFont="1" applyFill="1" applyAlignment="1">
      <alignment horizontal="left" vertical="center" wrapText="1"/>
    </xf>
    <xf numFmtId="37" fontId="6" fillId="3" borderId="0" xfId="5" applyNumberFormat="1" applyFont="1" applyFill="1" applyAlignment="1">
      <alignment horizontal="left" vertical="center"/>
    </xf>
    <xf numFmtId="0" fontId="35" fillId="3" borderId="0" xfId="5" quotePrefix="1" applyFont="1" applyFill="1"/>
    <xf numFmtId="37" fontId="7" fillId="8" borderId="0" xfId="5" applyNumberFormat="1" applyFont="1" applyFill="1" applyAlignment="1">
      <alignment horizontal="left" vertical="center"/>
    </xf>
    <xf numFmtId="0" fontId="43" fillId="8" borderId="0" xfId="5" applyFont="1" applyFill="1" applyAlignment="1">
      <alignment horizontal="left" vertical="center" wrapText="1"/>
    </xf>
    <xf numFmtId="3" fontId="5" fillId="8" borderId="0" xfId="5" applyNumberFormat="1" applyFont="1" applyFill="1" applyAlignment="1">
      <alignment horizontal="right" vertical="center"/>
    </xf>
    <xf numFmtId="173" fontId="5" fillId="8" borderId="0" xfId="5" applyNumberFormat="1" applyFont="1" applyFill="1" applyAlignment="1">
      <alignment horizontal="right" vertical="center"/>
    </xf>
    <xf numFmtId="37" fontId="6" fillId="3" borderId="0" xfId="5" applyNumberFormat="1" applyFont="1" applyFill="1" applyAlignment="1">
      <alignment horizontal="left" vertical="center" indent="1"/>
    </xf>
    <xf numFmtId="3" fontId="38" fillId="8" borderId="0" xfId="5" applyNumberFormat="1" applyFont="1" applyFill="1" applyAlignment="1">
      <alignment horizontal="right" vertical="center"/>
    </xf>
    <xf numFmtId="3" fontId="7" fillId="8" borderId="0" xfId="5" applyNumberFormat="1" applyFont="1" applyFill="1" applyAlignment="1">
      <alignment horizontal="right" vertical="center"/>
    </xf>
    <xf numFmtId="4" fontId="6" fillId="3" borderId="0" xfId="5" applyNumberFormat="1" applyFont="1" applyFill="1" applyAlignment="1">
      <alignment horizontal="right" vertical="center"/>
    </xf>
    <xf numFmtId="37" fontId="3" fillId="3" borderId="0" xfId="7" applyNumberFormat="1" applyFont="1" applyFill="1" applyAlignment="1">
      <alignment horizontal="left" vertical="top" wrapText="1"/>
    </xf>
    <xf numFmtId="3" fontId="3" fillId="3" borderId="0" xfId="7" applyNumberFormat="1" applyFont="1" applyFill="1" applyAlignment="1">
      <alignment horizontal="left" vertical="top" wrapText="1"/>
    </xf>
    <xf numFmtId="37" fontId="3" fillId="3" borderId="0" xfId="7" applyNumberFormat="1" applyFont="1" applyFill="1" applyAlignment="1">
      <alignment horizontal="left" vertical="top"/>
    </xf>
    <xf numFmtId="37" fontId="6" fillId="3" borderId="0" xfId="0" applyNumberFormat="1" applyFont="1" applyFill="1" applyAlignment="1">
      <alignment horizontal="left" vertical="center"/>
    </xf>
    <xf numFmtId="0" fontId="69" fillId="9" borderId="0" xfId="0" applyFont="1" applyFill="1" applyAlignment="1">
      <alignment horizontal="left" vertical="center"/>
    </xf>
    <xf numFmtId="3" fontId="6" fillId="9" borderId="0" xfId="0" applyNumberFormat="1" applyFont="1" applyFill="1" applyAlignment="1">
      <alignment horizontal="right" vertical="center"/>
    </xf>
    <xf numFmtId="0" fontId="8" fillId="3" borderId="0" xfId="5" applyFont="1" applyFill="1" applyAlignment="1">
      <alignment horizontal="left" vertical="center"/>
    </xf>
    <xf numFmtId="3" fontId="41" fillId="4" borderId="0" xfId="5" applyNumberFormat="1" applyFont="1" applyFill="1" applyAlignment="1">
      <alignment horizontal="right" vertical="center"/>
    </xf>
    <xf numFmtId="0" fontId="6" fillId="0" borderId="0" xfId="0" applyFont="1" applyAlignment="1">
      <alignment horizontal="right" vertical="center"/>
    </xf>
    <xf numFmtId="0" fontId="5" fillId="9" borderId="0" xfId="0" applyFont="1" applyFill="1" applyAlignment="1">
      <alignment horizontal="right" vertical="center"/>
    </xf>
    <xf numFmtId="3" fontId="35" fillId="3" borderId="3" xfId="5" applyNumberFormat="1" applyFont="1" applyFill="1" applyBorder="1" applyAlignment="1">
      <alignment horizontal="right"/>
    </xf>
    <xf numFmtId="3" fontId="52" fillId="3" borderId="3" xfId="5" applyNumberFormat="1" applyFont="1" applyFill="1" applyBorder="1" applyAlignment="1">
      <alignment horizontal="right"/>
    </xf>
    <xf numFmtId="37" fontId="70" fillId="3" borderId="0" xfId="5" applyNumberFormat="1" applyFont="1" applyFill="1" applyAlignment="1">
      <alignment vertical="top"/>
    </xf>
    <xf numFmtId="0" fontId="71" fillId="0" borderId="0" xfId="0" applyFont="1" applyAlignment="1">
      <alignment vertical="center"/>
    </xf>
    <xf numFmtId="49" fontId="36" fillId="3" borderId="0" xfId="5" applyNumberFormat="1" applyFont="1" applyFill="1" applyAlignment="1">
      <alignment horizontal="right" vertical="center"/>
    </xf>
    <xf numFmtId="1" fontId="6" fillId="3" borderId="0" xfId="5" applyNumberFormat="1" applyFont="1" applyFill="1" applyAlignment="1">
      <alignment horizontal="right" vertical="center"/>
    </xf>
    <xf numFmtId="37" fontId="6" fillId="0" borderId="4" xfId="7" applyNumberFormat="1" applyFont="1" applyBorder="1" applyAlignment="1">
      <alignment horizontal="left" vertical="center"/>
    </xf>
    <xf numFmtId="0" fontId="7" fillId="0" borderId="4" xfId="7" applyFont="1" applyBorder="1" applyAlignment="1">
      <alignment horizontal="left" vertical="center"/>
    </xf>
    <xf numFmtId="0" fontId="16" fillId="14" borderId="0" xfId="4" quotePrefix="1" applyFont="1" applyFill="1" applyAlignment="1" applyProtection="1">
      <alignment horizontal="left"/>
    </xf>
    <xf numFmtId="0" fontId="61" fillId="14" borderId="0" xfId="5" applyFont="1" applyFill="1" applyAlignment="1">
      <alignment horizontal="left" vertical="center"/>
    </xf>
    <xf numFmtId="0" fontId="47" fillId="14" borderId="0" xfId="5" applyFont="1" applyFill="1" applyAlignment="1">
      <alignment horizontal="right"/>
    </xf>
    <xf numFmtId="49" fontId="47" fillId="14" borderId="0" xfId="5" applyNumberFormat="1" applyFont="1" applyFill="1" applyAlignment="1">
      <alignment horizontal="right"/>
    </xf>
    <xf numFmtId="3" fontId="52" fillId="14" borderId="0" xfId="5" applyNumberFormat="1" applyFont="1" applyFill="1" applyAlignment="1">
      <alignment horizontal="right"/>
    </xf>
    <xf numFmtId="0" fontId="39" fillId="14" borderId="0" xfId="5" applyFont="1" applyFill="1" applyAlignment="1">
      <alignment horizontal="right" vertical="center" wrapText="1"/>
    </xf>
    <xf numFmtId="0" fontId="39" fillId="14" borderId="0" xfId="5" applyFont="1" applyFill="1" applyAlignment="1">
      <alignment vertical="top" wrapText="1"/>
    </xf>
    <xf numFmtId="49" fontId="72" fillId="6" borderId="0" xfId="7" applyNumberFormat="1" applyFont="1" applyFill="1" applyAlignment="1">
      <alignment horizontal="left" vertical="center"/>
    </xf>
    <xf numFmtId="0" fontId="43" fillId="8" borderId="0" xfId="7" applyFont="1" applyFill="1" applyAlignment="1">
      <alignment horizontal="left" vertical="center" wrapText="1"/>
    </xf>
    <xf numFmtId="175" fontId="5" fillId="8" borderId="0" xfId="9" applyNumberFormat="1" applyFont="1" applyFill="1" applyAlignment="1" applyProtection="1">
      <alignment horizontal="right" vertical="center"/>
    </xf>
    <xf numFmtId="0" fontId="43" fillId="3" borderId="0" xfId="7" applyFont="1" applyFill="1" applyAlignment="1">
      <alignment horizontal="left" vertical="center"/>
    </xf>
    <xf numFmtId="2" fontId="35" fillId="3" borderId="0" xfId="7" applyNumberFormat="1" applyFont="1" applyFill="1" applyAlignment="1">
      <alignment horizontal="right" vertical="center"/>
    </xf>
    <xf numFmtId="0" fontId="6" fillId="3" borderId="0" xfId="7" applyFont="1" applyFill="1" applyAlignment="1">
      <alignment horizontal="right" vertical="center"/>
    </xf>
    <xf numFmtId="169" fontId="35" fillId="3" borderId="0" xfId="7" applyNumberFormat="1" applyFont="1" applyFill="1" applyAlignment="1">
      <alignment horizontal="right" vertical="center"/>
    </xf>
    <xf numFmtId="169" fontId="6" fillId="7" borderId="0" xfId="7" applyNumberFormat="1" applyFont="1" applyFill="1" applyAlignment="1">
      <alignment horizontal="right" vertical="center"/>
    </xf>
    <xf numFmtId="168" fontId="6" fillId="3" borderId="0" xfId="7" applyNumberFormat="1" applyFont="1" applyFill="1" applyAlignment="1">
      <alignment horizontal="right" vertical="center"/>
    </xf>
    <xf numFmtId="37" fontId="6" fillId="3" borderId="0" xfId="7" applyNumberFormat="1" applyFont="1" applyFill="1" applyAlignment="1">
      <alignment vertical="center"/>
    </xf>
    <xf numFmtId="0" fontId="36" fillId="3" borderId="0" xfId="7" applyFont="1" applyFill="1" applyAlignment="1">
      <alignment horizontal="left" vertical="center"/>
    </xf>
    <xf numFmtId="49" fontId="72" fillId="3" borderId="0" xfId="7" applyNumberFormat="1" applyFont="1" applyFill="1" applyAlignment="1">
      <alignment horizontal="left" vertical="center"/>
    </xf>
    <xf numFmtId="0" fontId="7" fillId="8" borderId="0" xfId="7" applyFont="1" applyFill="1" applyAlignment="1">
      <alignment horizontal="left" vertical="center"/>
    </xf>
    <xf numFmtId="0" fontId="8" fillId="8" borderId="0" xfId="7" applyFont="1" applyFill="1" applyAlignment="1">
      <alignment horizontal="left" vertical="center"/>
    </xf>
    <xf numFmtId="0" fontId="6" fillId="4" borderId="0" xfId="5" applyFont="1" applyFill="1" applyAlignment="1">
      <alignment horizontal="left" vertical="center"/>
    </xf>
    <xf numFmtId="165" fontId="35" fillId="4" borderId="0" xfId="5" applyNumberFormat="1" applyFont="1" applyFill="1" applyAlignment="1">
      <alignment horizontal="right" vertical="center"/>
    </xf>
    <xf numFmtId="0" fontId="8" fillId="3" borderId="0" xfId="7" applyFont="1" applyFill="1" applyAlignment="1">
      <alignment horizontal="left" vertical="center"/>
    </xf>
    <xf numFmtId="164" fontId="6" fillId="3" borderId="0" xfId="7" applyNumberFormat="1" applyFont="1" applyFill="1" applyAlignment="1">
      <alignment horizontal="right" vertical="center"/>
    </xf>
    <xf numFmtId="37" fontId="6" fillId="3" borderId="0" xfId="7" applyNumberFormat="1" applyFont="1" applyFill="1" applyAlignment="1">
      <alignment horizontal="left" vertical="center" indent="2"/>
    </xf>
    <xf numFmtId="37" fontId="6" fillId="3" borderId="0" xfId="7" applyNumberFormat="1" applyFont="1" applyFill="1" applyAlignment="1">
      <alignment vertical="center" wrapText="1"/>
    </xf>
    <xf numFmtId="168" fontId="35" fillId="3" borderId="0" xfId="7" applyNumberFormat="1" applyFont="1" applyFill="1" applyAlignment="1">
      <alignment horizontal="right" vertical="center"/>
    </xf>
    <xf numFmtId="37" fontId="18" fillId="3" borderId="0" xfId="7" applyNumberFormat="1" applyFont="1" applyFill="1" applyAlignment="1">
      <alignment horizontal="left" vertical="center" wrapText="1"/>
    </xf>
    <xf numFmtId="0" fontId="6" fillId="4" borderId="0" xfId="5" applyFont="1" applyFill="1" applyAlignment="1">
      <alignment horizontal="left" vertical="center" wrapText="1"/>
    </xf>
    <xf numFmtId="37" fontId="6" fillId="0" borderId="0" xfId="7" applyNumberFormat="1" applyFont="1" applyAlignment="1">
      <alignment vertical="center"/>
    </xf>
    <xf numFmtId="37" fontId="5" fillId="3" borderId="0" xfId="5" applyNumberFormat="1" applyFont="1" applyFill="1" applyAlignment="1">
      <alignment horizontal="left" vertical="center" wrapText="1" indent="2"/>
    </xf>
    <xf numFmtId="0" fontId="43" fillId="8" borderId="0" xfId="0" applyFont="1" applyFill="1" applyAlignment="1">
      <alignment horizontal="left" vertical="center"/>
    </xf>
    <xf numFmtId="165" fontId="6" fillId="8" borderId="0" xfId="0" applyNumberFormat="1" applyFont="1" applyFill="1" applyAlignment="1">
      <alignment horizontal="right" vertical="center"/>
    </xf>
    <xf numFmtId="0" fontId="7" fillId="8" borderId="0" xfId="0" applyFont="1" applyFill="1" applyAlignment="1">
      <alignment horizontal="right" vertical="center"/>
    </xf>
    <xf numFmtId="0" fontId="35" fillId="8" borderId="0" xfId="0" applyFont="1" applyFill="1" applyAlignment="1">
      <alignment horizontal="right" vertical="center"/>
    </xf>
    <xf numFmtId="174" fontId="35" fillId="3" borderId="0" xfId="0" applyNumberFormat="1" applyFont="1" applyFill="1" applyAlignment="1">
      <alignment horizontal="right" vertical="center"/>
    </xf>
    <xf numFmtId="0" fontId="35" fillId="3" borderId="3" xfId="7" applyFont="1" applyFill="1" applyBorder="1"/>
    <xf numFmtId="0" fontId="38" fillId="3" borderId="0" xfId="7" applyFont="1" applyFill="1" applyAlignment="1">
      <alignment wrapText="1"/>
    </xf>
    <xf numFmtId="37" fontId="6" fillId="3" borderId="0" xfId="7" applyNumberFormat="1" applyFont="1" applyFill="1" applyAlignment="1">
      <alignment vertical="top"/>
    </xf>
    <xf numFmtId="0" fontId="16" fillId="24" borderId="0" xfId="4" quotePrefix="1" applyFont="1" applyFill="1" applyAlignment="1" applyProtection="1">
      <alignment horizontal="left"/>
    </xf>
    <xf numFmtId="0" fontId="8" fillId="3" borderId="0" xfId="0" applyFont="1" applyFill="1" applyAlignment="1" applyProtection="1">
      <alignment horizontal="right" vertical="center" wrapText="1"/>
      <protection locked="0"/>
    </xf>
    <xf numFmtId="165" fontId="35" fillId="3" borderId="0" xfId="0" applyNumberFormat="1" applyFont="1" applyFill="1" applyAlignment="1">
      <alignment horizontal="right" vertical="center"/>
    </xf>
    <xf numFmtId="37" fontId="5" fillId="3" borderId="0" xfId="0" applyNumberFormat="1" applyFont="1" applyFill="1" applyAlignment="1">
      <alignment horizontal="left" vertical="center"/>
    </xf>
    <xf numFmtId="37" fontId="5" fillId="3" borderId="0" xfId="0" applyNumberFormat="1" applyFont="1" applyFill="1" applyAlignment="1">
      <alignment vertical="center"/>
    </xf>
    <xf numFmtId="164" fontId="46" fillId="3" borderId="0" xfId="0" applyNumberFormat="1" applyFont="1" applyFill="1" applyAlignment="1">
      <alignment horizontal="center" vertical="center"/>
    </xf>
    <xf numFmtId="175" fontId="5" fillId="3" borderId="0" xfId="9" applyNumberFormat="1" applyFont="1" applyFill="1" applyAlignment="1" applyProtection="1">
      <alignment horizontal="right" vertical="center"/>
    </xf>
    <xf numFmtId="175" fontId="8" fillId="3" borderId="0" xfId="9" applyNumberFormat="1" applyFont="1" applyFill="1" applyAlignment="1" applyProtection="1">
      <alignment horizontal="right" vertical="center" wrapText="1"/>
    </xf>
    <xf numFmtId="175" fontId="8" fillId="3" borderId="0" xfId="9" applyNumberFormat="1" applyFont="1" applyFill="1" applyAlignment="1" applyProtection="1">
      <alignment horizontal="right" vertical="center"/>
    </xf>
    <xf numFmtId="0" fontId="36" fillId="5" borderId="0" xfId="0" applyFont="1" applyFill="1" applyAlignment="1" applyProtection="1">
      <alignment horizontal="left" vertical="center"/>
      <protection locked="0"/>
    </xf>
    <xf numFmtId="0" fontId="6" fillId="3" borderId="0" xfId="0" applyFont="1" applyFill="1" applyAlignment="1" applyProtection="1">
      <alignment vertical="center" wrapText="1"/>
      <protection locked="0"/>
    </xf>
    <xf numFmtId="0" fontId="36" fillId="5" borderId="0" xfId="0" applyFont="1" applyFill="1" applyAlignment="1" applyProtection="1">
      <alignment horizontal="left" vertical="center" wrapText="1"/>
      <protection locked="0"/>
    </xf>
    <xf numFmtId="3" fontId="6" fillId="8" borderId="0" xfId="0" applyNumberFormat="1" applyFont="1" applyFill="1" applyAlignment="1" applyProtection="1">
      <alignment horizontal="right" vertical="center"/>
      <protection locked="0"/>
    </xf>
    <xf numFmtId="0" fontId="76" fillId="3" borderId="3" xfId="0" applyFont="1" applyFill="1" applyBorder="1"/>
    <xf numFmtId="0" fontId="44" fillId="3" borderId="3" xfId="0" applyFont="1" applyFill="1" applyBorder="1"/>
    <xf numFmtId="0" fontId="77" fillId="3" borderId="3" xfId="0" applyFont="1" applyFill="1" applyBorder="1"/>
    <xf numFmtId="0" fontId="52" fillId="3" borderId="0" xfId="0" applyFont="1" applyFill="1"/>
    <xf numFmtId="0" fontId="16" fillId="25" borderId="0" xfId="4" quotePrefix="1" applyFont="1" applyFill="1" applyAlignment="1" applyProtection="1">
      <alignment horizontal="left"/>
    </xf>
    <xf numFmtId="168" fontId="46" fillId="3" borderId="0" xfId="0" applyNumberFormat="1" applyFont="1" applyFill="1" applyAlignment="1">
      <alignment horizontal="right" vertical="center"/>
    </xf>
    <xf numFmtId="37" fontId="79" fillId="3" borderId="0" xfId="4" applyNumberFormat="1" applyFont="1" applyFill="1" applyAlignment="1" applyProtection="1">
      <alignment horizontal="left" vertical="center"/>
    </xf>
    <xf numFmtId="0" fontId="80" fillId="3" borderId="0" xfId="7" applyFont="1" applyFill="1" applyAlignment="1">
      <alignment horizontal="right" vertical="top"/>
    </xf>
    <xf numFmtId="0" fontId="80" fillId="3" borderId="0" xfId="5" applyFont="1" applyFill="1" applyAlignment="1">
      <alignment horizontal="right"/>
    </xf>
    <xf numFmtId="0" fontId="81" fillId="3" borderId="0" xfId="5" applyFont="1" applyFill="1" applyAlignment="1">
      <alignment horizontal="right"/>
    </xf>
    <xf numFmtId="37" fontId="79" fillId="3" borderId="0" xfId="4" applyNumberFormat="1" applyFont="1" applyFill="1" applyAlignment="1" applyProtection="1">
      <alignment horizontal="right"/>
    </xf>
    <xf numFmtId="0" fontId="80" fillId="3" borderId="0" xfId="5" applyFont="1" applyFill="1" applyAlignment="1">
      <alignment horizontal="left" vertical="center"/>
    </xf>
    <xf numFmtId="49" fontId="80" fillId="3" borderId="0" xfId="5" applyNumberFormat="1" applyFont="1" applyFill="1" applyAlignment="1">
      <alignment horizontal="right"/>
    </xf>
    <xf numFmtId="0" fontId="80" fillId="3" borderId="0" xfId="7" applyFont="1" applyFill="1"/>
    <xf numFmtId="0" fontId="21" fillId="0" borderId="4" xfId="7" applyFont="1" applyBorder="1" applyAlignment="1">
      <alignment horizontal="left" vertical="center"/>
    </xf>
    <xf numFmtId="0" fontId="79" fillId="3" borderId="0" xfId="4" applyFont="1" applyFill="1" applyAlignment="1" applyProtection="1">
      <alignment vertical="center"/>
    </xf>
    <xf numFmtId="49" fontId="8" fillId="3" borderId="0" xfId="0" applyNumberFormat="1" applyFont="1" applyFill="1" applyAlignment="1" applyProtection="1">
      <alignment horizontal="right" vertical="center" wrapText="1"/>
      <protection locked="0"/>
    </xf>
    <xf numFmtId="0" fontId="8" fillId="3" borderId="0" xfId="0" applyFont="1" applyFill="1" applyAlignment="1" applyProtection="1">
      <alignment horizontal="right" vertical="center"/>
      <protection locked="0"/>
    </xf>
    <xf numFmtId="3" fontId="6" fillId="4" borderId="0" xfId="0" applyNumberFormat="1" applyFont="1" applyFill="1" applyAlignment="1">
      <alignment horizontal="right" vertical="center"/>
    </xf>
    <xf numFmtId="0" fontId="12" fillId="20" borderId="0" xfId="4" quotePrefix="1" applyFont="1" applyFill="1" applyAlignment="1">
      <alignment horizontal="left" vertical="top"/>
    </xf>
    <xf numFmtId="0" fontId="13" fillId="20" borderId="0" xfId="4" quotePrefix="1" applyFont="1" applyFill="1" applyAlignment="1">
      <alignment horizontal="left"/>
    </xf>
    <xf numFmtId="0" fontId="12" fillId="22" borderId="0" xfId="4" quotePrefix="1" applyFont="1" applyFill="1" applyAlignment="1">
      <alignment horizontal="left" vertical="top"/>
    </xf>
    <xf numFmtId="0" fontId="13" fillId="22" borderId="0" xfId="4" quotePrefix="1" applyFont="1" applyFill="1" applyAlignment="1">
      <alignment horizontal="left"/>
    </xf>
    <xf numFmtId="0" fontId="12" fillId="24" borderId="0" xfId="4" quotePrefix="1" applyFont="1" applyFill="1" applyAlignment="1">
      <alignment horizontal="left" vertical="top"/>
    </xf>
    <xf numFmtId="0" fontId="15" fillId="24" borderId="0" xfId="4" quotePrefix="1" applyFont="1" applyFill="1" applyAlignment="1">
      <alignment horizontal="left"/>
    </xf>
    <xf numFmtId="0" fontId="12" fillId="25" borderId="0" xfId="4" quotePrefix="1" applyFont="1" applyFill="1" applyAlignment="1">
      <alignment horizontal="left" vertical="top"/>
    </xf>
    <xf numFmtId="0" fontId="4" fillId="25" borderId="0" xfId="0" applyFont="1" applyFill="1" applyAlignment="1" applyProtection="1">
      <alignment horizontal="left"/>
      <protection locked="0"/>
    </xf>
    <xf numFmtId="0" fontId="35" fillId="3" borderId="0" xfId="5" applyFont="1" applyFill="1" applyAlignment="1">
      <alignment horizontal="center" vertical="center"/>
    </xf>
    <xf numFmtId="0" fontId="35" fillId="3" borderId="0" xfId="7" applyFont="1" applyFill="1" applyAlignment="1">
      <alignment horizontal="center" vertical="center"/>
    </xf>
    <xf numFmtId="175" fontId="6" fillId="3" borderId="0" xfId="1" applyNumberFormat="1" applyFont="1" applyFill="1" applyAlignment="1" applyProtection="1">
      <alignment horizontal="right" vertical="center"/>
    </xf>
    <xf numFmtId="0" fontId="82" fillId="3" borderId="0" xfId="4" applyFont="1" applyFill="1" applyAlignment="1" applyProtection="1">
      <alignment horizontal="left" vertical="center"/>
    </xf>
    <xf numFmtId="167" fontId="5" fillId="3" borderId="0" xfId="0" applyNumberFormat="1" applyFont="1" applyFill="1" applyAlignment="1">
      <alignment horizontal="right" vertical="center"/>
    </xf>
    <xf numFmtId="0" fontId="72" fillId="3" borderId="0" xfId="7" applyFont="1" applyFill="1" applyAlignment="1">
      <alignment horizontal="left" vertical="center"/>
    </xf>
    <xf numFmtId="37" fontId="6" fillId="3" borderId="4" xfId="7" applyNumberFormat="1" applyFont="1" applyFill="1" applyBorder="1" applyAlignment="1">
      <alignment horizontal="left" vertical="center"/>
    </xf>
    <xf numFmtId="0" fontId="35" fillId="3" borderId="0" xfId="7" applyFont="1" applyFill="1" applyAlignment="1">
      <alignment horizontal="right" vertical="center"/>
    </xf>
    <xf numFmtId="0" fontId="52" fillId="3" borderId="0" xfId="7" applyFont="1" applyFill="1" applyAlignment="1">
      <alignment horizontal="right" vertical="center"/>
    </xf>
    <xf numFmtId="165" fontId="43" fillId="4" borderId="0" xfId="5" applyNumberFormat="1" applyFont="1" applyFill="1" applyAlignment="1">
      <alignment horizontal="right" vertical="center"/>
    </xf>
    <xf numFmtId="37" fontId="3" fillId="3" borderId="0" xfId="7" applyNumberFormat="1" applyFont="1" applyFill="1" applyAlignment="1">
      <alignment horizontal="right" vertical="center" wrapText="1"/>
    </xf>
    <xf numFmtId="37" fontId="6" fillId="3" borderId="0" xfId="7" applyNumberFormat="1" applyFont="1" applyFill="1" applyAlignment="1">
      <alignment horizontal="right" vertical="center" wrapText="1"/>
    </xf>
    <xf numFmtId="37" fontId="18" fillId="3" borderId="0" xfId="7" applyNumberFormat="1" applyFont="1" applyFill="1" applyAlignment="1">
      <alignment horizontal="right" vertical="center" wrapText="1"/>
    </xf>
    <xf numFmtId="0" fontId="43" fillId="8" borderId="0" xfId="0" applyFont="1" applyFill="1" applyAlignment="1">
      <alignment horizontal="right" vertical="center"/>
    </xf>
    <xf numFmtId="0" fontId="8" fillId="4" borderId="0" xfId="5" applyFont="1" applyFill="1" applyAlignment="1">
      <alignment horizontal="left" vertical="center"/>
    </xf>
    <xf numFmtId="0" fontId="83" fillId="20" borderId="0" xfId="4" quotePrefix="1" applyNumberFormat="1" applyFont="1" applyFill="1" applyAlignment="1">
      <alignment horizontal="right" vertical="center"/>
    </xf>
    <xf numFmtId="0" fontId="83" fillId="22" borderId="0" xfId="4" quotePrefix="1" applyNumberFormat="1" applyFont="1" applyFill="1" applyAlignment="1">
      <alignment horizontal="right" vertical="center"/>
    </xf>
    <xf numFmtId="0" fontId="83" fillId="23" borderId="0" xfId="4" quotePrefix="1" applyNumberFormat="1" applyFont="1" applyFill="1" applyAlignment="1">
      <alignment horizontal="right" vertical="center"/>
    </xf>
    <xf numFmtId="0" fontId="83" fillId="24" borderId="0" xfId="4" quotePrefix="1" applyNumberFormat="1" applyFont="1" applyFill="1" applyAlignment="1">
      <alignment horizontal="right" vertical="center"/>
    </xf>
    <xf numFmtId="0" fontId="83" fillId="14" borderId="0" xfId="4" quotePrefix="1" applyNumberFormat="1" applyFont="1" applyFill="1" applyAlignment="1">
      <alignment horizontal="right" vertical="center"/>
    </xf>
    <xf numFmtId="0" fontId="83" fillId="25" borderId="0" xfId="4" quotePrefix="1" applyNumberFormat="1" applyFont="1" applyFill="1" applyAlignment="1">
      <alignment horizontal="right" vertical="center"/>
    </xf>
    <xf numFmtId="0" fontId="83" fillId="17" borderId="0" xfId="4" quotePrefix="1" applyNumberFormat="1" applyFont="1" applyFill="1" applyAlignment="1">
      <alignment horizontal="right" vertical="center"/>
    </xf>
    <xf numFmtId="0" fontId="83" fillId="16" borderId="0" xfId="4" quotePrefix="1" applyNumberFormat="1" applyFont="1" applyFill="1" applyAlignment="1">
      <alignment horizontal="right" vertical="center"/>
    </xf>
    <xf numFmtId="0" fontId="84" fillId="3" borderId="0" xfId="4" quotePrefix="1" applyFont="1" applyFill="1" applyAlignment="1">
      <alignment horizontal="left" vertical="center" wrapText="1" indent="2"/>
    </xf>
    <xf numFmtId="37" fontId="49" fillId="3" borderId="0" xfId="7" applyNumberFormat="1" applyFont="1" applyFill="1" applyAlignment="1">
      <alignment horizontal="right" vertical="center"/>
    </xf>
    <xf numFmtId="37" fontId="6" fillId="3" borderId="0" xfId="5" applyNumberFormat="1" applyFont="1" applyFill="1" applyAlignment="1">
      <alignment horizontal="left" vertical="center" indent="4"/>
    </xf>
    <xf numFmtId="37" fontId="6" fillId="3" borderId="0" xfId="0" applyNumberFormat="1" applyFont="1" applyFill="1" applyAlignment="1">
      <alignment horizontal="left" vertical="center" indent="6"/>
    </xf>
    <xf numFmtId="37" fontId="6" fillId="3" borderId="0" xfId="5" applyNumberFormat="1" applyFont="1" applyFill="1" applyAlignment="1">
      <alignment horizontal="left" vertical="center" indent="6"/>
    </xf>
    <xf numFmtId="0" fontId="10" fillId="3" borderId="0" xfId="5" applyFont="1" applyFill="1"/>
    <xf numFmtId="0" fontId="6" fillId="3" borderId="0" xfId="5" applyFont="1" applyFill="1" applyAlignment="1">
      <alignment horizontal="right"/>
    </xf>
    <xf numFmtId="0" fontId="19" fillId="3" borderId="0" xfId="5" applyFont="1" applyFill="1" applyAlignment="1">
      <alignment horizontal="right"/>
    </xf>
    <xf numFmtId="3" fontId="18" fillId="3" borderId="0" xfId="5" applyNumberFormat="1" applyFont="1" applyFill="1" applyAlignment="1">
      <alignment horizontal="right" vertical="center"/>
    </xf>
    <xf numFmtId="37" fontId="85" fillId="3" borderId="0" xfId="4" applyNumberFormat="1" applyFont="1" applyFill="1" applyBorder="1" applyAlignment="1" applyProtection="1">
      <alignment horizontal="left" vertical="center"/>
      <protection locked="0"/>
    </xf>
    <xf numFmtId="164" fontId="86" fillId="4" borderId="0" xfId="0" applyNumberFormat="1" applyFont="1" applyFill="1" applyAlignment="1">
      <alignment horizontal="right" vertical="center"/>
    </xf>
    <xf numFmtId="0" fontId="87" fillId="4" borderId="0" xfId="0" applyFont="1" applyFill="1" applyAlignment="1" applyProtection="1">
      <alignment horizontal="right" vertical="center"/>
      <protection locked="0"/>
    </xf>
    <xf numFmtId="0" fontId="88" fillId="4" borderId="0" xfId="0" applyFont="1" applyFill="1" applyAlignment="1">
      <alignment horizontal="right" vertical="center"/>
    </xf>
    <xf numFmtId="0" fontId="17" fillId="21" borderId="0" xfId="0" applyFont="1" applyFill="1" applyAlignment="1" applyProtection="1">
      <alignment horizontal="right" vertical="center"/>
      <protection locked="0"/>
    </xf>
    <xf numFmtId="3" fontId="5" fillId="12" borderId="0" xfId="0" applyNumberFormat="1" applyFont="1" applyFill="1" applyAlignment="1" applyProtection="1">
      <alignment horizontal="right" vertical="center"/>
      <protection locked="0"/>
    </xf>
    <xf numFmtId="3" fontId="5" fillId="7" borderId="0" xfId="0" applyNumberFormat="1" applyFont="1" applyFill="1" applyAlignment="1" applyProtection="1">
      <alignment horizontal="right" vertical="center"/>
      <protection locked="0"/>
    </xf>
    <xf numFmtId="0" fontId="0" fillId="3" borderId="0" xfId="0" applyFill="1" applyAlignment="1">
      <alignment horizontal="right" vertical="center"/>
    </xf>
    <xf numFmtId="0" fontId="8" fillId="9" borderId="0" xfId="0" applyFont="1" applyFill="1" applyAlignment="1" applyProtection="1">
      <alignment horizontal="right" vertical="center" wrapText="1"/>
      <protection locked="0"/>
    </xf>
    <xf numFmtId="168" fontId="5" fillId="3" borderId="0" xfId="0" applyNumberFormat="1" applyFont="1" applyFill="1" applyAlignment="1">
      <alignment horizontal="right" vertical="center"/>
    </xf>
    <xf numFmtId="168" fontId="6" fillId="3" borderId="0" xfId="0" applyNumberFormat="1" applyFont="1" applyFill="1" applyAlignment="1" applyProtection="1">
      <alignment horizontal="right" vertical="center"/>
      <protection locked="0"/>
    </xf>
    <xf numFmtId="168" fontId="5" fillId="7" borderId="0" xfId="0" applyNumberFormat="1" applyFont="1" applyFill="1" applyAlignment="1" applyProtection="1">
      <alignment horizontal="right" vertical="center"/>
      <protection locked="0"/>
    </xf>
    <xf numFmtId="164" fontId="5" fillId="7" borderId="0" xfId="0" applyNumberFormat="1" applyFont="1" applyFill="1" applyAlignment="1">
      <alignment horizontal="right" vertical="center"/>
    </xf>
    <xf numFmtId="0" fontId="4" fillId="8" borderId="0" xfId="0" applyFont="1" applyFill="1" applyAlignment="1">
      <alignment horizontal="right" vertical="center"/>
    </xf>
    <xf numFmtId="0" fontId="8" fillId="4" borderId="0" xfId="0" applyFont="1" applyFill="1" applyAlignment="1" applyProtection="1">
      <alignment horizontal="right" vertical="center"/>
      <protection locked="0"/>
    </xf>
    <xf numFmtId="0" fontId="8" fillId="8" borderId="0" xfId="0" applyFont="1" applyFill="1" applyAlignment="1" applyProtection="1">
      <alignment horizontal="right" vertical="center" wrapText="1"/>
      <protection locked="0"/>
    </xf>
    <xf numFmtId="180" fontId="8" fillId="4" borderId="0" xfId="0" applyNumberFormat="1" applyFont="1" applyFill="1" applyAlignment="1" applyProtection="1">
      <alignment horizontal="right" vertical="center"/>
      <protection locked="0"/>
    </xf>
    <xf numFmtId="0" fontId="8" fillId="9" borderId="0" xfId="0" applyFont="1" applyFill="1" applyAlignment="1" applyProtection="1">
      <alignment horizontal="right" vertical="center"/>
      <protection locked="0"/>
    </xf>
    <xf numFmtId="0" fontId="8" fillId="21" borderId="0" xfId="0" applyFont="1" applyFill="1" applyAlignment="1" applyProtection="1">
      <alignment horizontal="right" vertical="center"/>
      <protection locked="0"/>
    </xf>
    <xf numFmtId="0" fontId="50" fillId="12" borderId="0" xfId="0" applyFont="1" applyFill="1" applyAlignment="1" applyProtection="1">
      <alignment horizontal="right" vertical="center"/>
      <protection locked="0"/>
    </xf>
    <xf numFmtId="0" fontId="26" fillId="3" borderId="0" xfId="0" applyFont="1" applyFill="1" applyAlignment="1">
      <alignment horizontal="right" vertical="center"/>
    </xf>
    <xf numFmtId="0" fontId="37" fillId="3" borderId="0" xfId="5" applyFont="1" applyFill="1" applyAlignment="1">
      <alignment horizontal="right" vertical="center" wrapText="1"/>
    </xf>
    <xf numFmtId="37" fontId="8" fillId="3" borderId="0" xfId="5" applyNumberFormat="1" applyFont="1" applyFill="1" applyAlignment="1">
      <alignment horizontal="right" vertical="center"/>
    </xf>
    <xf numFmtId="0" fontId="63" fillId="19" borderId="0" xfId="0" applyFont="1" applyFill="1" applyAlignment="1" applyProtection="1">
      <alignment horizontal="right" vertical="center"/>
      <protection locked="0"/>
    </xf>
    <xf numFmtId="171" fontId="5" fillId="8" borderId="0" xfId="0" applyNumberFormat="1" applyFont="1" applyFill="1" applyAlignment="1">
      <alignment horizontal="right" vertical="center"/>
    </xf>
    <xf numFmtId="3" fontId="8" fillId="21" borderId="0" xfId="0" applyNumberFormat="1" applyFont="1" applyFill="1" applyAlignment="1" applyProtection="1">
      <alignment horizontal="right" vertical="center"/>
      <protection locked="0"/>
    </xf>
    <xf numFmtId="0" fontId="35" fillId="3" borderId="3" xfId="5" applyFont="1" applyFill="1" applyBorder="1" applyAlignment="1">
      <alignment horizontal="right" vertical="center"/>
    </xf>
    <xf numFmtId="0" fontId="52" fillId="3" borderId="3" xfId="5" applyFont="1" applyFill="1" applyBorder="1" applyAlignment="1">
      <alignment horizontal="right" vertical="center"/>
    </xf>
    <xf numFmtId="0" fontId="19" fillId="3" borderId="0" xfId="0" applyFont="1" applyFill="1"/>
    <xf numFmtId="0" fontId="6" fillId="3" borderId="0" xfId="0" applyFont="1" applyFill="1"/>
    <xf numFmtId="0" fontId="10" fillId="3" borderId="0" xfId="5" applyFont="1" applyFill="1" applyAlignment="1">
      <alignment horizontal="right"/>
    </xf>
    <xf numFmtId="37" fontId="56" fillId="3" borderId="0" xfId="4" applyNumberFormat="1" applyFont="1" applyFill="1" applyBorder="1" applyAlignment="1" applyProtection="1">
      <alignment horizontal="left" vertical="center"/>
    </xf>
    <xf numFmtId="0" fontId="56" fillId="3" borderId="0" xfId="4" applyFont="1" applyFill="1" applyAlignment="1" applyProtection="1">
      <alignment vertical="center"/>
    </xf>
    <xf numFmtId="2" fontId="5" fillId="3" borderId="0" xfId="0" applyNumberFormat="1" applyFont="1" applyFill="1" applyAlignment="1">
      <alignment horizontal="right" vertical="center"/>
    </xf>
    <xf numFmtId="2" fontId="5" fillId="3" borderId="0" xfId="0" applyNumberFormat="1" applyFont="1" applyFill="1" applyAlignment="1" applyProtection="1">
      <alignment horizontal="right" vertical="center"/>
      <protection locked="0"/>
    </xf>
    <xf numFmtId="0" fontId="76" fillId="3" borderId="0" xfId="5" applyFont="1" applyFill="1"/>
    <xf numFmtId="37" fontId="22" fillId="3" borderId="0" xfId="4" applyNumberFormat="1" applyFont="1" applyFill="1" applyBorder="1" applyAlignment="1" applyProtection="1">
      <alignment horizontal="left" vertical="center"/>
    </xf>
    <xf numFmtId="0" fontId="44" fillId="3" borderId="0" xfId="5" applyFont="1" applyFill="1" applyAlignment="1">
      <alignment horizontal="right"/>
    </xf>
    <xf numFmtId="0" fontId="22" fillId="3" borderId="0" xfId="4" applyFont="1" applyFill="1" applyAlignment="1" applyProtection="1">
      <alignment horizontal="left" vertical="center"/>
    </xf>
    <xf numFmtId="0" fontId="56" fillId="3" borderId="0" xfId="4" applyFont="1" applyFill="1" applyAlignment="1" applyProtection="1">
      <alignment horizontal="left" vertical="center"/>
    </xf>
    <xf numFmtId="0" fontId="89" fillId="3" borderId="0" xfId="7" applyFont="1" applyFill="1" applyAlignment="1">
      <alignment horizontal="right"/>
    </xf>
    <xf numFmtId="0" fontId="89" fillId="3" borderId="0" xfId="0" applyFont="1" applyFill="1"/>
    <xf numFmtId="0" fontId="89" fillId="3" borderId="0" xfId="7" applyFont="1" applyFill="1" applyAlignment="1">
      <alignment vertical="top"/>
    </xf>
    <xf numFmtId="0" fontId="44" fillId="3" borderId="0" xfId="0" applyFont="1" applyFill="1"/>
    <xf numFmtId="0" fontId="56" fillId="3" borderId="0" xfId="4" applyFont="1" applyFill="1" applyAlignment="1" applyProtection="1">
      <alignment horizontal="left" vertical="top"/>
    </xf>
    <xf numFmtId="0" fontId="44" fillId="3" borderId="0" xfId="7" applyFont="1" applyFill="1" applyAlignment="1">
      <alignment horizontal="right" vertical="top"/>
    </xf>
    <xf numFmtId="37" fontId="56" fillId="3" borderId="0" xfId="4" applyNumberFormat="1" applyFont="1" applyFill="1" applyAlignment="1" applyProtection="1">
      <alignment horizontal="right"/>
    </xf>
    <xf numFmtId="0" fontId="44" fillId="3" borderId="0" xfId="5" applyFont="1" applyFill="1" applyAlignment="1">
      <alignment horizontal="left" vertical="center"/>
    </xf>
    <xf numFmtId="0" fontId="92" fillId="3" borderId="0" xfId="4" applyFont="1" applyFill="1" applyAlignment="1" applyProtection="1">
      <alignment horizontal="left" vertical="center"/>
    </xf>
    <xf numFmtId="0" fontId="93" fillId="3" borderId="0" xfId="5" applyFont="1" applyFill="1"/>
    <xf numFmtId="0" fontId="72" fillId="6" borderId="0" xfId="5" applyFont="1" applyFill="1" applyAlignment="1">
      <alignment horizontal="center" vertical="center" wrapText="1"/>
    </xf>
    <xf numFmtId="37" fontId="11" fillId="3" borderId="0" xfId="0" applyNumberFormat="1" applyFont="1" applyFill="1" applyAlignment="1" applyProtection="1">
      <alignment horizontal="right" vertical="center"/>
      <protection locked="0"/>
    </xf>
    <xf numFmtId="0" fontId="93" fillId="3" borderId="0" xfId="5" applyFont="1" applyFill="1" applyAlignment="1">
      <alignment horizontal="right" vertical="center" wrapText="1"/>
    </xf>
    <xf numFmtId="0" fontId="93" fillId="3" borderId="0" xfId="5" applyFont="1" applyFill="1" applyAlignment="1">
      <alignment horizontal="right" vertical="center"/>
    </xf>
    <xf numFmtId="0" fontId="94" fillId="3" borderId="0" xfId="0" applyFont="1" applyFill="1" applyAlignment="1">
      <alignment horizontal="right" vertical="center"/>
    </xf>
    <xf numFmtId="0" fontId="95" fillId="3" borderId="0" xfId="0" applyFont="1" applyFill="1" applyAlignment="1">
      <alignment horizontal="right" vertical="center"/>
    </xf>
    <xf numFmtId="0" fontId="93" fillId="3" borderId="3" xfId="5" applyFont="1" applyFill="1" applyBorder="1" applyAlignment="1">
      <alignment horizontal="right" vertical="center"/>
    </xf>
    <xf numFmtId="0" fontId="96" fillId="20" borderId="0" xfId="5" applyFont="1" applyFill="1" applyAlignment="1">
      <alignment horizontal="right" vertical="center" wrapText="1"/>
    </xf>
    <xf numFmtId="0" fontId="97" fillId="3" borderId="0" xfId="5" applyFont="1" applyFill="1" applyAlignment="1">
      <alignment horizontal="right" vertical="center" wrapText="1"/>
    </xf>
    <xf numFmtId="0" fontId="98" fillId="3" borderId="0" xfId="5" applyFont="1" applyFill="1" applyAlignment="1">
      <alignment horizontal="right" vertical="center" wrapText="1"/>
    </xf>
    <xf numFmtId="0" fontId="98" fillId="3" borderId="0" xfId="5" applyFont="1" applyFill="1" applyAlignment="1">
      <alignment horizontal="right" vertical="center"/>
    </xf>
    <xf numFmtId="0" fontId="99" fillId="3" borderId="0" xfId="5" applyFont="1" applyFill="1" applyAlignment="1">
      <alignment horizontal="right" vertical="center"/>
    </xf>
    <xf numFmtId="37" fontId="8" fillId="3" borderId="0" xfId="0" applyNumberFormat="1" applyFont="1" applyFill="1" applyAlignment="1">
      <alignment horizontal="right" vertical="center"/>
    </xf>
    <xf numFmtId="0" fontId="74" fillId="3" borderId="0" xfId="5" applyFont="1" applyFill="1" applyAlignment="1">
      <alignment horizontal="right" vertical="center"/>
    </xf>
    <xf numFmtId="37" fontId="50" fillId="3" borderId="0" xfId="5" applyNumberFormat="1" applyFont="1" applyFill="1" applyAlignment="1">
      <alignment horizontal="right" vertical="center"/>
    </xf>
    <xf numFmtId="0" fontId="100" fillId="3" borderId="0" xfId="5" applyFont="1" applyFill="1" applyAlignment="1">
      <alignment horizontal="right" vertical="center" wrapText="1"/>
    </xf>
    <xf numFmtId="0" fontId="72" fillId="6" borderId="0" xfId="7" applyFont="1" applyFill="1" applyAlignment="1">
      <alignment horizontal="center" vertical="center" wrapText="1"/>
    </xf>
    <xf numFmtId="0" fontId="18" fillId="3" borderId="0" xfId="7" applyFont="1" applyFill="1" applyAlignment="1">
      <alignment horizontal="right" vertical="center"/>
    </xf>
    <xf numFmtId="49" fontId="18" fillId="3" borderId="0" xfId="7" applyNumberFormat="1" applyFont="1" applyFill="1" applyAlignment="1">
      <alignment horizontal="right" vertical="center"/>
    </xf>
    <xf numFmtId="0" fontId="43" fillId="3" borderId="3" xfId="0" applyFont="1" applyFill="1" applyBorder="1" applyAlignment="1">
      <alignment horizontal="right" vertical="center"/>
    </xf>
    <xf numFmtId="0" fontId="93" fillId="3" borderId="0" xfId="7" applyFont="1" applyFill="1" applyAlignment="1">
      <alignment horizontal="right" vertical="center"/>
    </xf>
    <xf numFmtId="49" fontId="93" fillId="3" borderId="0" xfId="7" applyNumberFormat="1" applyFont="1" applyFill="1" applyAlignment="1">
      <alignment horizontal="right" vertical="center"/>
    </xf>
    <xf numFmtId="0" fontId="97" fillId="3" borderId="0" xfId="7" applyFont="1" applyFill="1" applyAlignment="1">
      <alignment horizontal="right" vertical="center" wrapText="1"/>
    </xf>
    <xf numFmtId="49" fontId="97" fillId="3" borderId="0" xfId="7" applyNumberFormat="1" applyFont="1" applyFill="1" applyAlignment="1">
      <alignment horizontal="right" vertical="center" wrapText="1"/>
    </xf>
    <xf numFmtId="0" fontId="96" fillId="22" borderId="0" xfId="7" applyFont="1" applyFill="1" applyAlignment="1">
      <alignment horizontal="right" vertical="center" wrapText="1"/>
    </xf>
    <xf numFmtId="49" fontId="96" fillId="22" borderId="0" xfId="7" applyNumberFormat="1" applyFont="1" applyFill="1" applyAlignment="1">
      <alignment horizontal="right" vertical="center" wrapText="1"/>
    </xf>
    <xf numFmtId="37" fontId="11" fillId="3" borderId="0" xfId="0" applyNumberFormat="1" applyFont="1" applyFill="1" applyAlignment="1">
      <alignment horizontal="right" vertical="center" wrapText="1"/>
    </xf>
    <xf numFmtId="3" fontId="18" fillId="3" borderId="0" xfId="0" applyNumberFormat="1" applyFont="1" applyFill="1" applyAlignment="1">
      <alignment horizontal="right" vertical="center"/>
    </xf>
    <xf numFmtId="165" fontId="18" fillId="3" borderId="0" xfId="7" applyNumberFormat="1" applyFont="1" applyFill="1" applyAlignment="1">
      <alignment horizontal="right" vertical="center"/>
    </xf>
    <xf numFmtId="0" fontId="93" fillId="3" borderId="0" xfId="0" applyFont="1" applyFill="1" applyAlignment="1">
      <alignment horizontal="right" vertical="center"/>
    </xf>
    <xf numFmtId="0" fontId="101" fillId="3" borderId="0" xfId="0" applyFont="1" applyFill="1" applyAlignment="1">
      <alignment horizontal="right" vertical="center"/>
    </xf>
    <xf numFmtId="0" fontId="93" fillId="3" borderId="0" xfId="7" applyFont="1" applyFill="1" applyAlignment="1">
      <alignment horizontal="right" vertical="center" wrapText="1"/>
    </xf>
    <xf numFmtId="49" fontId="102" fillId="3" borderId="0" xfId="7" applyNumberFormat="1" applyFont="1" applyFill="1" applyAlignment="1">
      <alignment horizontal="right" vertical="center"/>
    </xf>
    <xf numFmtId="0" fontId="97" fillId="3" borderId="0" xfId="0" applyFont="1" applyFill="1" applyAlignment="1">
      <alignment horizontal="right" vertical="center"/>
    </xf>
    <xf numFmtId="0" fontId="103" fillId="3" borderId="0" xfId="0" applyFont="1" applyFill="1" applyAlignment="1">
      <alignment horizontal="right" vertical="center"/>
    </xf>
    <xf numFmtId="0" fontId="11" fillId="3" borderId="0" xfId="0" applyFont="1" applyFill="1" applyAlignment="1">
      <alignment horizontal="right" vertical="center"/>
    </xf>
    <xf numFmtId="37" fontId="11" fillId="3" borderId="0" xfId="0" applyNumberFormat="1" applyFont="1" applyFill="1" applyAlignment="1">
      <alignment horizontal="right" vertical="center"/>
    </xf>
    <xf numFmtId="0" fontId="18" fillId="3" borderId="0" xfId="0" applyFont="1" applyFill="1" applyAlignment="1">
      <alignment horizontal="right" vertical="center"/>
    </xf>
    <xf numFmtId="169" fontId="18" fillId="3" borderId="0" xfId="0" applyNumberFormat="1" applyFont="1" applyFill="1" applyAlignment="1">
      <alignment horizontal="right" vertical="center"/>
    </xf>
    <xf numFmtId="174" fontId="23" fillId="3" borderId="0" xfId="0" applyNumberFormat="1" applyFont="1" applyFill="1" applyAlignment="1">
      <alignment horizontal="right" vertical="center"/>
    </xf>
    <xf numFmtId="165" fontId="23" fillId="3" borderId="0" xfId="0" applyNumberFormat="1" applyFont="1" applyFill="1" applyAlignment="1">
      <alignment horizontal="right" vertical="center"/>
    </xf>
    <xf numFmtId="0" fontId="93" fillId="3" borderId="3" xfId="0" applyFont="1" applyFill="1" applyBorder="1" applyAlignment="1">
      <alignment horizontal="right" vertical="center"/>
    </xf>
    <xf numFmtId="49" fontId="93" fillId="3" borderId="3" xfId="0" applyNumberFormat="1" applyFont="1" applyFill="1" applyBorder="1" applyAlignment="1">
      <alignment horizontal="right" vertical="center"/>
    </xf>
    <xf numFmtId="167" fontId="18" fillId="3" borderId="0" xfId="5" applyNumberFormat="1" applyFont="1" applyFill="1" applyAlignment="1">
      <alignment horizontal="right" vertical="center"/>
    </xf>
    <xf numFmtId="0" fontId="18" fillId="3" borderId="0" xfId="5" applyFont="1" applyFill="1" applyAlignment="1">
      <alignment horizontal="right" vertical="center"/>
    </xf>
    <xf numFmtId="0" fontId="68" fillId="23" borderId="0" xfId="5" applyFont="1" applyFill="1" applyAlignment="1">
      <alignment horizontal="right" vertical="center" wrapText="1"/>
    </xf>
    <xf numFmtId="3" fontId="93" fillId="3" borderId="0" xfId="5" applyNumberFormat="1" applyFont="1" applyFill="1" applyAlignment="1">
      <alignment horizontal="right" vertical="center"/>
    </xf>
    <xf numFmtId="37" fontId="18" fillId="0" borderId="4" xfId="7" applyNumberFormat="1" applyFont="1" applyBorder="1" applyAlignment="1">
      <alignment horizontal="right" vertical="center"/>
    </xf>
    <xf numFmtId="37" fontId="18" fillId="3" borderId="4" xfId="7" applyNumberFormat="1" applyFont="1" applyFill="1" applyBorder="1" applyAlignment="1">
      <alignment horizontal="right" vertical="center"/>
    </xf>
    <xf numFmtId="0" fontId="24" fillId="0" borderId="4" xfId="7" applyFont="1" applyBorder="1" applyAlignment="1">
      <alignment horizontal="right" vertical="center"/>
    </xf>
    <xf numFmtId="0" fontId="68" fillId="14" borderId="0" xfId="5" applyFont="1" applyFill="1" applyAlignment="1">
      <alignment horizontal="right" vertical="center" wrapText="1"/>
    </xf>
    <xf numFmtId="0" fontId="45" fillId="3" borderId="3" xfId="0" applyFont="1" applyFill="1" applyBorder="1" applyAlignment="1">
      <alignment horizontal="right" vertical="center" wrapText="1"/>
    </xf>
    <xf numFmtId="0" fontId="45" fillId="3" borderId="3" xfId="0" applyFont="1" applyFill="1" applyBorder="1" applyAlignment="1">
      <alignment horizontal="right" vertical="center"/>
    </xf>
    <xf numFmtId="37" fontId="18" fillId="0" borderId="4" xfId="7" applyNumberFormat="1" applyFont="1" applyBorder="1" applyAlignment="1">
      <alignment horizontal="right" vertical="center" wrapText="1"/>
    </xf>
    <xf numFmtId="37" fontId="18" fillId="3" borderId="4" xfId="7" applyNumberFormat="1" applyFont="1" applyFill="1" applyBorder="1" applyAlignment="1">
      <alignment horizontal="right" vertical="center" wrapText="1"/>
    </xf>
    <xf numFmtId="0" fontId="24" fillId="0" borderId="4" xfId="7" applyFont="1" applyBorder="1" applyAlignment="1">
      <alignment horizontal="right" vertical="center" wrapText="1"/>
    </xf>
    <xf numFmtId="0" fontId="93" fillId="3" borderId="3" xfId="0" applyFont="1" applyFill="1" applyBorder="1" applyAlignment="1">
      <alignment horizontal="right" vertical="center" wrapText="1"/>
    </xf>
    <xf numFmtId="173" fontId="35" fillId="8" borderId="0" xfId="5" applyNumberFormat="1" applyFont="1" applyFill="1" applyAlignment="1">
      <alignment horizontal="right" vertical="center"/>
    </xf>
    <xf numFmtId="173" fontId="6" fillId="8" borderId="0" xfId="5" applyNumberFormat="1" applyFont="1" applyFill="1" applyAlignment="1">
      <alignment horizontal="right" vertical="center"/>
    </xf>
    <xf numFmtId="0" fontId="83" fillId="26" borderId="0" xfId="4" quotePrefix="1" applyNumberFormat="1" applyFont="1" applyFill="1" applyAlignment="1">
      <alignment horizontal="right" vertical="center"/>
    </xf>
    <xf numFmtId="166" fontId="5" fillId="3" borderId="0" xfId="0" applyNumberFormat="1" applyFont="1" applyFill="1" applyAlignment="1">
      <alignment horizontal="right" vertical="center"/>
    </xf>
    <xf numFmtId="37" fontId="6" fillId="3" borderId="0" xfId="0" applyNumberFormat="1" applyFont="1" applyFill="1" applyAlignment="1">
      <alignment horizontal="left" vertical="center" wrapText="1"/>
    </xf>
    <xf numFmtId="1" fontId="17" fillId="21" borderId="0" xfId="0" applyNumberFormat="1" applyFont="1" applyFill="1" applyAlignment="1" applyProtection="1">
      <alignment horizontal="right" vertical="center"/>
      <protection locked="0"/>
    </xf>
    <xf numFmtId="174" fontId="6" fillId="3" borderId="0" xfId="0" applyNumberFormat="1" applyFont="1" applyFill="1" applyAlignment="1" applyProtection="1">
      <alignment horizontal="right" vertical="center"/>
      <protection locked="0"/>
    </xf>
    <xf numFmtId="165" fontId="8" fillId="4" borderId="0" xfId="0" applyNumberFormat="1" applyFont="1" applyFill="1" applyAlignment="1" applyProtection="1">
      <alignment horizontal="right" vertical="center"/>
      <protection locked="0"/>
    </xf>
    <xf numFmtId="3" fontId="88" fillId="4" borderId="0" xfId="0" applyNumberFormat="1" applyFont="1" applyFill="1" applyAlignment="1">
      <alignment horizontal="right" vertical="center"/>
    </xf>
    <xf numFmtId="167" fontId="46" fillId="3" borderId="0" xfId="0" applyNumberFormat="1" applyFont="1" applyFill="1" applyAlignment="1">
      <alignment horizontal="right" vertical="center"/>
    </xf>
    <xf numFmtId="167" fontId="6" fillId="3" borderId="0" xfId="0" applyNumberFormat="1" applyFont="1" applyFill="1" applyAlignment="1" applyProtection="1">
      <alignment horizontal="right" vertical="center"/>
      <protection locked="0"/>
    </xf>
    <xf numFmtId="167" fontId="5" fillId="3" borderId="0" xfId="0" applyNumberFormat="1" applyFont="1" applyFill="1" applyAlignment="1" applyProtection="1">
      <alignment horizontal="right" vertical="center"/>
      <protection locked="0"/>
    </xf>
    <xf numFmtId="174" fontId="46" fillId="3" borderId="0" xfId="0" applyNumberFormat="1" applyFont="1" applyFill="1" applyAlignment="1">
      <alignment horizontal="right" vertical="center"/>
    </xf>
    <xf numFmtId="3" fontId="35" fillId="3" borderId="0" xfId="5" applyNumberFormat="1" applyFont="1" applyFill="1" applyAlignment="1">
      <alignment horizontal="right"/>
    </xf>
    <xf numFmtId="173" fontId="5" fillId="3" borderId="0" xfId="0" applyNumberFormat="1" applyFont="1" applyFill="1" applyAlignment="1">
      <alignment horizontal="right" vertical="center"/>
    </xf>
    <xf numFmtId="164" fontId="88" fillId="4" borderId="0" xfId="0" applyNumberFormat="1" applyFont="1" applyFill="1" applyAlignment="1">
      <alignment horizontal="right" vertical="center"/>
    </xf>
    <xf numFmtId="183" fontId="5" fillId="3" borderId="0" xfId="0" applyNumberFormat="1" applyFont="1" applyFill="1" applyAlignment="1">
      <alignment horizontal="right" vertical="center"/>
    </xf>
    <xf numFmtId="171" fontId="5" fillId="3" borderId="0" xfId="0" applyNumberFormat="1" applyFont="1" applyFill="1" applyAlignment="1">
      <alignment horizontal="right" vertical="center" wrapText="1"/>
    </xf>
    <xf numFmtId="3" fontId="47" fillId="4" borderId="0" xfId="0" applyNumberFormat="1" applyFont="1" applyFill="1" applyAlignment="1">
      <alignment horizontal="right" vertical="center"/>
    </xf>
    <xf numFmtId="165" fontId="5" fillId="3" borderId="0" xfId="0" applyNumberFormat="1" applyFont="1" applyFill="1" applyAlignment="1">
      <alignment vertical="center"/>
    </xf>
    <xf numFmtId="173" fontId="5" fillId="9" borderId="0" xfId="0" applyNumberFormat="1" applyFont="1" applyFill="1" applyAlignment="1">
      <alignment horizontal="right" vertical="center"/>
    </xf>
    <xf numFmtId="3" fontId="6" fillId="4" borderId="0" xfId="0" applyNumberFormat="1" applyFont="1" applyFill="1" applyAlignment="1">
      <alignment horizontal="left" vertical="center" indent="1"/>
    </xf>
    <xf numFmtId="3" fontId="36" fillId="5" borderId="0" xfId="0" applyNumberFormat="1" applyFont="1" applyFill="1" applyAlignment="1">
      <alignment horizontal="left" vertical="center"/>
    </xf>
    <xf numFmtId="165" fontId="35" fillId="4" borderId="0" xfId="0" applyNumberFormat="1" applyFont="1" applyFill="1" applyAlignment="1">
      <alignment horizontal="right" vertical="center"/>
    </xf>
    <xf numFmtId="175" fontId="5" fillId="3" borderId="0" xfId="1" applyNumberFormat="1" applyFont="1" applyFill="1" applyAlignment="1" applyProtection="1">
      <alignment horizontal="right" vertical="center" wrapText="1"/>
    </xf>
    <xf numFmtId="175" fontId="6" fillId="7" borderId="0" xfId="1" applyNumberFormat="1" applyFont="1" applyFill="1" applyAlignment="1" applyProtection="1">
      <alignment horizontal="right" vertical="center" wrapText="1"/>
    </xf>
    <xf numFmtId="0" fontId="6" fillId="3" borderId="0" xfId="0" applyFont="1" applyFill="1" applyAlignment="1">
      <alignment vertical="center"/>
    </xf>
    <xf numFmtId="0" fontId="7" fillId="3" borderId="0" xfId="0" applyFont="1" applyFill="1" applyAlignment="1">
      <alignment horizontal="left" vertical="center" wrapText="1"/>
    </xf>
    <xf numFmtId="3" fontId="5" fillId="0" borderId="0" xfId="0" applyNumberFormat="1" applyFont="1" applyAlignment="1" applyProtection="1">
      <alignment horizontal="right" vertical="center"/>
      <protection locked="0"/>
    </xf>
    <xf numFmtId="165" fontId="35" fillId="3" borderId="0" xfId="7" applyNumberFormat="1" applyFont="1" applyFill="1" applyAlignment="1">
      <alignment horizontal="right"/>
    </xf>
    <xf numFmtId="37" fontId="6" fillId="3" borderId="0" xfId="7" applyNumberFormat="1" applyFont="1" applyFill="1" applyAlignment="1">
      <alignment horizontal="left" vertical="center"/>
    </xf>
    <xf numFmtId="0" fontId="14" fillId="17" borderId="0" xfId="4" quotePrefix="1" applyFont="1" applyFill="1" applyAlignment="1" applyProtection="1">
      <alignment horizontal="left"/>
    </xf>
    <xf numFmtId="0" fontId="6" fillId="12" borderId="0" xfId="0" applyFont="1" applyFill="1" applyAlignment="1">
      <alignment horizontal="right" vertical="center"/>
    </xf>
    <xf numFmtId="0" fontId="104" fillId="14" borderId="0" xfId="5" applyFont="1" applyFill="1" applyAlignment="1">
      <alignment horizontal="right" vertical="center" wrapText="1"/>
    </xf>
    <xf numFmtId="164" fontId="6" fillId="3" borderId="0" xfId="0" applyNumberFormat="1" applyFont="1" applyFill="1" applyAlignment="1" applyProtection="1">
      <alignment horizontal="right" vertical="center"/>
      <protection locked="0"/>
    </xf>
    <xf numFmtId="175" fontId="6" fillId="3" borderId="0" xfId="1" applyNumberFormat="1" applyFont="1" applyFill="1" applyAlignment="1" applyProtection="1">
      <alignment horizontal="right" vertical="center" indent="1"/>
    </xf>
    <xf numFmtId="164" fontId="5" fillId="8" borderId="0" xfId="0" applyNumberFormat="1" applyFont="1" applyFill="1" applyAlignment="1">
      <alignment vertical="center" wrapText="1"/>
    </xf>
    <xf numFmtId="166" fontId="6" fillId="7" borderId="0" xfId="0" applyNumberFormat="1" applyFont="1" applyFill="1" applyAlignment="1">
      <alignment horizontal="right" vertical="center"/>
    </xf>
    <xf numFmtId="3" fontId="8" fillId="3" borderId="0" xfId="5" applyNumberFormat="1" applyFont="1" applyFill="1" applyAlignment="1">
      <alignment horizontal="right" vertical="center"/>
    </xf>
    <xf numFmtId="37" fontId="19" fillId="3" borderId="0" xfId="7" applyNumberFormat="1" applyFont="1" applyFill="1" applyAlignment="1">
      <alignment vertical="top"/>
    </xf>
    <xf numFmtId="37" fontId="6" fillId="3" borderId="0" xfId="7" applyNumberFormat="1" applyFont="1" applyFill="1" applyAlignment="1">
      <alignment horizontal="left" vertical="center" wrapText="1"/>
    </xf>
    <xf numFmtId="37" fontId="7" fillId="8" borderId="0" xfId="7" applyNumberFormat="1" applyFont="1" applyFill="1" applyAlignment="1">
      <alignment horizontal="left" vertical="center" wrapText="1"/>
    </xf>
    <xf numFmtId="174" fontId="6" fillId="3" borderId="0" xfId="7" applyNumberFormat="1" applyFont="1" applyFill="1" applyAlignment="1">
      <alignment horizontal="right" vertical="center"/>
    </xf>
    <xf numFmtId="174" fontId="6" fillId="4" borderId="0" xfId="7" applyNumberFormat="1" applyFont="1" applyFill="1" applyAlignment="1">
      <alignment horizontal="right" vertical="center"/>
    </xf>
    <xf numFmtId="0" fontId="43" fillId="4" borderId="0" xfId="7" applyFont="1" applyFill="1" applyAlignment="1">
      <alignment horizontal="left" vertical="center"/>
    </xf>
    <xf numFmtId="174" fontId="6" fillId="8" borderId="0" xfId="7" applyNumberFormat="1" applyFont="1" applyFill="1" applyAlignment="1">
      <alignment horizontal="right" vertical="center"/>
    </xf>
    <xf numFmtId="0" fontId="43" fillId="8" borderId="0" xfId="7" applyFont="1" applyFill="1" applyAlignment="1">
      <alignment horizontal="left" vertical="center"/>
    </xf>
    <xf numFmtId="0" fontId="36" fillId="5" borderId="0" xfId="7" applyFont="1" applyFill="1" applyAlignment="1">
      <alignment horizontal="right" vertical="center" wrapText="1"/>
    </xf>
    <xf numFmtId="0" fontId="36" fillId="5" borderId="0" xfId="7" applyFont="1" applyFill="1" applyAlignment="1">
      <alignment horizontal="left" vertical="center" wrapText="1"/>
    </xf>
    <xf numFmtId="0" fontId="35" fillId="3" borderId="0" xfId="7" applyFont="1" applyFill="1" applyAlignment="1">
      <alignment vertical="top"/>
    </xf>
    <xf numFmtId="165" fontId="7" fillId="3" borderId="0" xfId="7" applyNumberFormat="1" applyFont="1" applyFill="1" applyAlignment="1">
      <alignment horizontal="right" vertical="center"/>
    </xf>
    <xf numFmtId="0" fontId="68" fillId="3" borderId="0" xfId="7" applyFont="1" applyFill="1" applyAlignment="1">
      <alignment horizontal="left" vertical="center"/>
    </xf>
    <xf numFmtId="37" fontId="7" fillId="3" borderId="0" xfId="7" applyNumberFormat="1" applyFont="1" applyFill="1" applyAlignment="1">
      <alignment horizontal="left" vertical="center" wrapText="1"/>
    </xf>
    <xf numFmtId="176" fontId="6" fillId="3" borderId="0" xfId="7" applyNumberFormat="1" applyFont="1" applyFill="1" applyAlignment="1">
      <alignment horizontal="right" vertical="center"/>
    </xf>
    <xf numFmtId="0" fontId="35" fillId="3" borderId="0" xfId="5" applyFont="1" applyFill="1" applyAlignment="1">
      <alignment horizontal="left" vertical="center" wrapText="1"/>
    </xf>
    <xf numFmtId="167" fontId="36" fillId="5" borderId="0" xfId="7" applyNumberFormat="1" applyFont="1" applyFill="1" applyAlignment="1">
      <alignment horizontal="right" vertical="center" wrapText="1"/>
    </xf>
    <xf numFmtId="0" fontId="35" fillId="3" borderId="0" xfId="7" applyFont="1" applyFill="1" applyAlignment="1">
      <alignment vertical="center"/>
    </xf>
    <xf numFmtId="0" fontId="96" fillId="24" borderId="0" xfId="7" applyFont="1" applyFill="1" applyAlignment="1">
      <alignment horizontal="right" vertical="center" wrapText="1"/>
    </xf>
    <xf numFmtId="49" fontId="96" fillId="24" borderId="0" xfId="7" applyNumberFormat="1" applyFont="1" applyFill="1" applyAlignment="1">
      <alignment horizontal="right" vertical="center" wrapText="1"/>
    </xf>
    <xf numFmtId="0" fontId="39" fillId="24" borderId="0" xfId="7" applyFont="1" applyFill="1" applyAlignment="1">
      <alignment vertical="top" wrapText="1"/>
    </xf>
    <xf numFmtId="0" fontId="39" fillId="24" borderId="0" xfId="7" applyFont="1" applyFill="1" applyAlignment="1">
      <alignment horizontal="right" vertical="center" wrapText="1"/>
    </xf>
    <xf numFmtId="3" fontId="52" fillId="24" borderId="0" xfId="7" applyNumberFormat="1" applyFont="1" applyFill="1" applyAlignment="1">
      <alignment horizontal="right"/>
    </xf>
    <xf numFmtId="49" fontId="47" fillId="24" borderId="0" xfId="7" applyNumberFormat="1" applyFont="1" applyFill="1" applyAlignment="1">
      <alignment horizontal="right"/>
    </xf>
    <xf numFmtId="0" fontId="61" fillId="24" borderId="0" xfId="7" applyFont="1" applyFill="1" applyAlignment="1">
      <alignment horizontal="left" vertical="center"/>
    </xf>
    <xf numFmtId="0" fontId="80" fillId="3" borderId="0" xfId="7" applyFont="1" applyFill="1" applyAlignment="1">
      <alignment horizontal="right"/>
    </xf>
    <xf numFmtId="0" fontId="70" fillId="3" borderId="0" xfId="7" applyFont="1" applyFill="1" applyAlignment="1">
      <alignment vertical="center"/>
    </xf>
    <xf numFmtId="0" fontId="80" fillId="3" borderId="0" xfId="7" applyFont="1" applyFill="1" applyAlignment="1">
      <alignment horizontal="left" vertical="center"/>
    </xf>
    <xf numFmtId="0" fontId="91" fillId="12" borderId="0" xfId="7" applyFont="1" applyFill="1" applyAlignment="1">
      <alignment horizontal="left" vertical="center"/>
    </xf>
    <xf numFmtId="0" fontId="73" fillId="19" borderId="0" xfId="7" applyFont="1" applyFill="1" applyAlignment="1">
      <alignment horizontal="left" vertical="center"/>
    </xf>
    <xf numFmtId="0" fontId="47" fillId="3" borderId="0" xfId="0" applyFont="1" applyFill="1" applyAlignment="1">
      <alignment horizontal="center" vertical="center"/>
    </xf>
    <xf numFmtId="0" fontId="78" fillId="3" borderId="0" xfId="8" applyFont="1" applyFill="1"/>
    <xf numFmtId="0" fontId="43" fillId="3" borderId="0" xfId="7" applyFont="1" applyFill="1" applyAlignment="1">
      <alignment horizontal="right" vertical="center"/>
    </xf>
    <xf numFmtId="165" fontId="8" fillId="3" borderId="0" xfId="7" applyNumberFormat="1" applyFont="1" applyFill="1" applyAlignment="1">
      <alignment horizontal="right" vertical="center" wrapText="1"/>
    </xf>
    <xf numFmtId="37" fontId="7" fillId="8" borderId="0" xfId="0" applyNumberFormat="1" applyFont="1" applyFill="1" applyAlignment="1">
      <alignment horizontal="left" vertical="center" wrapText="1"/>
    </xf>
    <xf numFmtId="49" fontId="75" fillId="3" borderId="0" xfId="7" applyNumberFormat="1" applyFont="1" applyFill="1" applyAlignment="1">
      <alignment horizontal="right" vertical="center"/>
    </xf>
    <xf numFmtId="49" fontId="75" fillId="3" borderId="0" xfId="7" applyNumberFormat="1" applyFont="1" applyFill="1" applyAlignment="1">
      <alignment horizontal="right" vertical="center" wrapText="1"/>
    </xf>
    <xf numFmtId="0" fontId="36" fillId="5" borderId="0" xfId="5" applyFont="1" applyFill="1" applyAlignment="1">
      <alignment horizontal="right" vertical="center"/>
    </xf>
    <xf numFmtId="49" fontId="6" fillId="3" borderId="0" xfId="0" applyNumberFormat="1" applyFont="1" applyFill="1" applyAlignment="1" applyProtection="1">
      <alignment horizontal="right" vertical="center"/>
      <protection locked="0"/>
    </xf>
    <xf numFmtId="0" fontId="35" fillId="4" borderId="0" xfId="5" applyFont="1" applyFill="1" applyAlignment="1">
      <alignment horizontal="right" vertical="center"/>
    </xf>
    <xf numFmtId="0" fontId="6" fillId="4" borderId="0" xfId="5" applyFont="1" applyFill="1" applyAlignment="1">
      <alignment horizontal="right" vertical="center"/>
    </xf>
    <xf numFmtId="37" fontId="18" fillId="3" borderId="0" xfId="0" applyNumberFormat="1" applyFont="1" applyFill="1" applyAlignment="1">
      <alignment horizontal="left" vertical="center" indent="3"/>
    </xf>
    <xf numFmtId="0" fontId="35" fillId="3" borderId="0" xfId="5" applyFont="1" applyFill="1" applyAlignment="1">
      <alignment horizontal="left" wrapText="1" indent="2"/>
    </xf>
    <xf numFmtId="49" fontId="43" fillId="3" borderId="0" xfId="7" applyNumberFormat="1" applyFont="1" applyFill="1" applyAlignment="1">
      <alignment horizontal="right" vertical="center"/>
    </xf>
    <xf numFmtId="0" fontId="43" fillId="3" borderId="0" xfId="7" applyFont="1" applyFill="1" applyAlignment="1">
      <alignment horizontal="right" vertical="center" wrapText="1"/>
    </xf>
    <xf numFmtId="0" fontId="6" fillId="8" borderId="0" xfId="0" applyFont="1" applyFill="1" applyAlignment="1" applyProtection="1">
      <alignment horizontal="right" vertical="center"/>
      <protection locked="0"/>
    </xf>
    <xf numFmtId="49" fontId="6" fillId="8" borderId="0" xfId="0" applyNumberFormat="1" applyFont="1" applyFill="1" applyAlignment="1" applyProtection="1">
      <alignment horizontal="right" vertical="center"/>
      <protection locked="0"/>
    </xf>
    <xf numFmtId="1" fontId="6" fillId="8" borderId="0" xfId="0" applyNumberFormat="1" applyFont="1" applyFill="1" applyAlignment="1">
      <alignment horizontal="right" vertical="center"/>
    </xf>
    <xf numFmtId="0" fontId="7" fillId="8" borderId="0" xfId="0" applyFont="1" applyFill="1" applyAlignment="1">
      <alignment vertical="center" wrapText="1"/>
    </xf>
    <xf numFmtId="0" fontId="35" fillId="3" borderId="0" xfId="7" quotePrefix="1" applyFont="1" applyFill="1" applyAlignment="1">
      <alignment vertical="top"/>
    </xf>
    <xf numFmtId="165" fontId="6" fillId="0" borderId="0" xfId="7" applyNumberFormat="1" applyFont="1" applyAlignment="1">
      <alignment horizontal="right" vertical="center"/>
    </xf>
    <xf numFmtId="37" fontId="5" fillId="0" borderId="0" xfId="0" applyNumberFormat="1" applyFont="1" applyAlignment="1" applyProtection="1">
      <alignment horizontal="left" vertical="center" indent="2"/>
      <protection locked="0"/>
    </xf>
    <xf numFmtId="49" fontId="102" fillId="3" borderId="0" xfId="7" applyNumberFormat="1" applyFont="1" applyFill="1" applyAlignment="1">
      <alignment horizontal="right" vertical="center" wrapText="1"/>
    </xf>
    <xf numFmtId="0" fontId="68" fillId="25" borderId="0" xfId="5" applyFont="1" applyFill="1" applyAlignment="1">
      <alignment horizontal="right" vertical="center" wrapText="1"/>
    </xf>
    <xf numFmtId="0" fontId="39" fillId="25" borderId="0" xfId="7" applyFont="1" applyFill="1" applyAlignment="1">
      <alignment vertical="top" wrapText="1"/>
    </xf>
    <xf numFmtId="0" fontId="39" fillId="25" borderId="0" xfId="7" applyFont="1" applyFill="1" applyAlignment="1">
      <alignment horizontal="right" vertical="center" wrapText="1"/>
    </xf>
    <xf numFmtId="3" fontId="52" fillId="25" borderId="0" xfId="7" applyNumberFormat="1" applyFont="1" applyFill="1" applyAlignment="1">
      <alignment horizontal="right"/>
    </xf>
    <xf numFmtId="49" fontId="47" fillId="25" borderId="0" xfId="7" applyNumberFormat="1" applyFont="1" applyFill="1" applyAlignment="1">
      <alignment horizontal="right"/>
    </xf>
    <xf numFmtId="0" fontId="47" fillId="25" borderId="0" xfId="7" applyFont="1" applyFill="1" applyAlignment="1">
      <alignment horizontal="right"/>
    </xf>
    <xf numFmtId="0" fontId="61" fillId="25" borderId="0" xfId="7" applyFont="1" applyFill="1" applyAlignment="1">
      <alignment horizontal="left" vertical="center"/>
    </xf>
    <xf numFmtId="0" fontId="18" fillId="3" borderId="0" xfId="7" applyFont="1" applyFill="1" applyAlignment="1">
      <alignment horizontal="right" vertical="center" wrapText="1"/>
    </xf>
    <xf numFmtId="0" fontId="35" fillId="3" borderId="0" xfId="7" applyFont="1" applyFill="1" applyAlignment="1">
      <alignment wrapText="1"/>
    </xf>
    <xf numFmtId="0" fontId="90" fillId="3" borderId="0" xfId="7" applyFont="1" applyFill="1" applyAlignment="1">
      <alignment horizontal="right" vertical="center"/>
    </xf>
    <xf numFmtId="0" fontId="74" fillId="3" borderId="0" xfId="7" applyFont="1" applyFill="1" applyAlignment="1">
      <alignment horizontal="right" vertical="center" wrapText="1"/>
    </xf>
    <xf numFmtId="0" fontId="42" fillId="3" borderId="0" xfId="7" applyFont="1" applyFill="1" applyAlignment="1">
      <alignment horizontal="right"/>
    </xf>
    <xf numFmtId="0" fontId="74" fillId="3" borderId="0" xfId="7" applyFont="1" applyFill="1" applyAlignment="1">
      <alignment horizontal="right" vertical="center"/>
    </xf>
    <xf numFmtId="3" fontId="35" fillId="3" borderId="3" xfId="5" applyNumberFormat="1" applyFont="1" applyFill="1" applyBorder="1" applyAlignment="1">
      <alignment horizontal="right" vertical="center"/>
    </xf>
    <xf numFmtId="0" fontId="43" fillId="8" borderId="0" xfId="5" applyFont="1" applyFill="1" applyAlignment="1">
      <alignment horizontal="right" vertical="center"/>
    </xf>
    <xf numFmtId="37" fontId="6" fillId="3" borderId="0" xfId="5" quotePrefix="1" applyNumberFormat="1" applyFont="1" applyFill="1" applyAlignment="1">
      <alignment horizontal="left" vertical="center" wrapText="1"/>
    </xf>
    <xf numFmtId="37" fontId="7" fillId="8" borderId="0" xfId="5" quotePrefix="1" applyNumberFormat="1" applyFont="1" applyFill="1" applyAlignment="1">
      <alignment horizontal="left" vertical="center" wrapText="1"/>
    </xf>
    <xf numFmtId="167" fontId="35" fillId="3" borderId="0" xfId="5" applyNumberFormat="1" applyFont="1" applyFill="1" applyAlignment="1">
      <alignment horizontal="right" vertical="center"/>
    </xf>
    <xf numFmtId="2" fontId="35" fillId="3" borderId="0" xfId="5" applyNumberFormat="1" applyFont="1" applyFill="1" applyAlignment="1">
      <alignment horizontal="right" vertical="center"/>
    </xf>
    <xf numFmtId="0" fontId="8" fillId="0" borderId="0" xfId="7" applyFont="1" applyAlignment="1">
      <alignment horizontal="left" vertical="center"/>
    </xf>
    <xf numFmtId="49" fontId="42" fillId="3" borderId="0" xfId="7" applyNumberFormat="1" applyFont="1" applyFill="1" applyAlignment="1">
      <alignment horizontal="right" vertical="center"/>
    </xf>
    <xf numFmtId="0" fontId="44" fillId="3" borderId="0" xfId="7" applyFont="1" applyFill="1" applyAlignment="1">
      <alignment vertical="top" wrapText="1"/>
    </xf>
    <xf numFmtId="37" fontId="5" fillId="10" borderId="0" xfId="0" applyNumberFormat="1" applyFont="1" applyFill="1" applyAlignment="1">
      <alignment horizontal="left" vertical="center" indent="2"/>
    </xf>
    <xf numFmtId="181" fontId="35" fillId="4" borderId="0" xfId="5" applyNumberFormat="1" applyFont="1" applyFill="1" applyAlignment="1">
      <alignment horizontal="right" vertical="center"/>
    </xf>
    <xf numFmtId="167" fontId="35" fillId="4" borderId="0" xfId="5" applyNumberFormat="1" applyFont="1" applyFill="1" applyAlignment="1">
      <alignment horizontal="right" vertical="center"/>
    </xf>
    <xf numFmtId="0" fontId="43" fillId="4" borderId="0" xfId="5" applyFont="1" applyFill="1" applyAlignment="1">
      <alignment horizontal="left" vertical="center" wrapText="1"/>
    </xf>
    <xf numFmtId="181" fontId="5" fillId="8" borderId="0" xfId="0" applyNumberFormat="1" applyFont="1" applyFill="1" applyAlignment="1">
      <alignment horizontal="right" vertical="center"/>
    </xf>
    <xf numFmtId="173" fontId="6" fillId="8" borderId="0" xfId="0" applyNumberFormat="1" applyFont="1" applyFill="1" applyAlignment="1">
      <alignment horizontal="right" vertical="center"/>
    </xf>
    <xf numFmtId="174" fontId="46" fillId="8" borderId="0" xfId="0" applyNumberFormat="1" applyFont="1" applyFill="1" applyAlignment="1">
      <alignment horizontal="right" vertical="center"/>
    </xf>
    <xf numFmtId="166" fontId="6" fillId="3" borderId="0" xfId="0" applyNumberFormat="1" applyFont="1" applyFill="1" applyAlignment="1">
      <alignment horizontal="right" vertical="center"/>
    </xf>
    <xf numFmtId="168" fontId="6" fillId="3" borderId="0" xfId="0" applyNumberFormat="1" applyFont="1" applyFill="1" applyAlignment="1">
      <alignment horizontal="right" vertical="center"/>
    </xf>
    <xf numFmtId="37" fontId="8" fillId="0" borderId="0" xfId="5" applyNumberFormat="1" applyFont="1" applyAlignment="1">
      <alignment horizontal="right" vertical="center"/>
    </xf>
    <xf numFmtId="0" fontId="11" fillId="8" borderId="0" xfId="5" applyFont="1" applyFill="1" applyAlignment="1">
      <alignment horizontal="left" vertical="center"/>
    </xf>
    <xf numFmtId="37" fontId="4" fillId="8" borderId="0" xfId="5" applyNumberFormat="1" applyFont="1" applyFill="1" applyAlignment="1">
      <alignment horizontal="left" vertical="center" wrapText="1"/>
    </xf>
    <xf numFmtId="0" fontId="68" fillId="17" borderId="0" xfId="5" applyFont="1" applyFill="1" applyAlignment="1">
      <alignment horizontal="right" vertical="center" wrapText="1"/>
    </xf>
    <xf numFmtId="0" fontId="39" fillId="17" borderId="0" xfId="5" applyFont="1" applyFill="1" applyAlignment="1">
      <alignment horizontal="right" vertical="center" wrapText="1"/>
    </xf>
    <xf numFmtId="0" fontId="61" fillId="17" borderId="0" xfId="5" applyFont="1" applyFill="1" applyAlignment="1">
      <alignment horizontal="left" vertical="center"/>
    </xf>
    <xf numFmtId="0" fontId="44" fillId="3" borderId="0" xfId="5" applyFont="1" applyFill="1" applyAlignment="1">
      <alignment horizontal="right" vertical="center"/>
    </xf>
    <xf numFmtId="3" fontId="36" fillId="5" borderId="0" xfId="7" applyNumberFormat="1" applyFont="1" applyFill="1" applyAlignment="1">
      <alignment horizontal="right" vertical="center"/>
    </xf>
    <xf numFmtId="0" fontId="8" fillId="3" borderId="0" xfId="5" quotePrefix="1" applyFont="1" applyFill="1" applyAlignment="1">
      <alignment horizontal="right" vertical="center"/>
    </xf>
    <xf numFmtId="0" fontId="49" fillId="3" borderId="0" xfId="7" applyFont="1" applyFill="1" applyAlignment="1">
      <alignment horizontal="left" vertical="center"/>
    </xf>
    <xf numFmtId="169" fontId="6" fillId="3" borderId="0" xfId="5" applyNumberFormat="1" applyFont="1" applyFill="1" applyAlignment="1">
      <alignment horizontal="right" vertical="center"/>
    </xf>
    <xf numFmtId="1" fontId="35" fillId="3" borderId="0" xfId="5" applyNumberFormat="1" applyFont="1" applyFill="1" applyAlignment="1">
      <alignment horizontal="right" vertical="center"/>
    </xf>
    <xf numFmtId="0" fontId="60" fillId="3" borderId="0" xfId="5" applyFont="1" applyFill="1" applyAlignment="1">
      <alignment wrapText="1"/>
    </xf>
    <xf numFmtId="0" fontId="50" fillId="3" borderId="0" xfId="5" applyFont="1" applyFill="1" applyAlignment="1">
      <alignment horizontal="right" vertical="center"/>
    </xf>
    <xf numFmtId="169" fontId="35" fillId="3" borderId="0" xfId="5" applyNumberFormat="1" applyFont="1" applyFill="1" applyAlignment="1">
      <alignment horizontal="right" vertical="center"/>
    </xf>
    <xf numFmtId="0" fontId="6" fillId="0" borderId="0" xfId="5" applyFont="1" applyAlignment="1">
      <alignment horizontal="right" vertical="center"/>
    </xf>
    <xf numFmtId="170" fontId="35" fillId="3" borderId="0" xfId="5" applyNumberFormat="1" applyFont="1" applyFill="1" applyAlignment="1">
      <alignment horizontal="right" vertical="center"/>
    </xf>
    <xf numFmtId="3" fontId="37" fillId="3" borderId="0" xfId="5" applyNumberFormat="1" applyFont="1" applyFill="1" applyAlignment="1">
      <alignment wrapText="1"/>
    </xf>
    <xf numFmtId="165" fontId="6" fillId="7" borderId="0" xfId="0" applyNumberFormat="1" applyFont="1" applyFill="1" applyAlignment="1">
      <alignment horizontal="right" vertical="center"/>
    </xf>
    <xf numFmtId="0" fontId="35" fillId="3" borderId="0" xfId="5" applyFont="1" applyFill="1" applyAlignment="1">
      <alignment horizontal="left"/>
    </xf>
    <xf numFmtId="0" fontId="26" fillId="3" borderId="0" xfId="0" applyFont="1" applyFill="1" applyAlignment="1">
      <alignment horizontal="left" vertical="center"/>
    </xf>
    <xf numFmtId="2" fontId="6" fillId="7" borderId="0" xfId="5" applyNumberFormat="1" applyFont="1" applyFill="1" applyAlignment="1">
      <alignment horizontal="right" vertical="center"/>
    </xf>
    <xf numFmtId="9" fontId="94" fillId="3" borderId="0" xfId="6" applyFont="1" applyFill="1" applyAlignment="1">
      <alignment horizontal="right" vertical="center"/>
    </xf>
    <xf numFmtId="1" fontId="6" fillId="7" borderId="0" xfId="0" applyNumberFormat="1" applyFont="1" applyFill="1" applyAlignment="1" applyProtection="1">
      <alignment horizontal="right" vertical="center"/>
      <protection locked="0"/>
    </xf>
    <xf numFmtId="1" fontId="6" fillId="7" borderId="0" xfId="0" applyNumberFormat="1" applyFont="1" applyFill="1" applyAlignment="1">
      <alignment horizontal="right" vertical="center"/>
    </xf>
    <xf numFmtId="165" fontId="5" fillId="7" borderId="0" xfId="0" applyNumberFormat="1" applyFont="1" applyFill="1" applyAlignment="1">
      <alignment vertical="center"/>
    </xf>
    <xf numFmtId="167" fontId="5" fillId="7" borderId="0" xfId="0" applyNumberFormat="1" applyFont="1" applyFill="1" applyAlignment="1">
      <alignment horizontal="right" vertical="center"/>
    </xf>
    <xf numFmtId="3" fontId="6" fillId="13" borderId="0" xfId="0" applyNumberFormat="1" applyFont="1" applyFill="1" applyAlignment="1">
      <alignment horizontal="right" vertical="center"/>
    </xf>
    <xf numFmtId="174" fontId="6" fillId="7" borderId="0" xfId="7" applyNumberFormat="1" applyFont="1" applyFill="1" applyAlignment="1">
      <alignment horizontal="right" vertical="center"/>
    </xf>
    <xf numFmtId="0" fontId="35" fillId="3" borderId="3" xfId="7" applyFont="1" applyFill="1" applyBorder="1" applyAlignment="1">
      <alignment horizontal="left" vertical="center"/>
    </xf>
    <xf numFmtId="37" fontId="6" fillId="3" borderId="0" xfId="5" quotePrefix="1" applyNumberFormat="1" applyFont="1" applyFill="1" applyAlignment="1">
      <alignment horizontal="left" vertical="center" indent="2"/>
    </xf>
    <xf numFmtId="1" fontId="48" fillId="12" borderId="0" xfId="6" applyNumberFormat="1" applyFont="1" applyFill="1" applyAlignment="1">
      <alignment horizontal="right" vertical="center"/>
    </xf>
    <xf numFmtId="1" fontId="6" fillId="12" borderId="0" xfId="6" applyNumberFormat="1" applyFont="1" applyFill="1" applyAlignment="1">
      <alignment horizontal="right" vertical="center"/>
    </xf>
    <xf numFmtId="4" fontId="6" fillId="12" borderId="0" xfId="0" applyNumberFormat="1" applyFont="1" applyFill="1" applyAlignment="1">
      <alignment horizontal="right" vertical="center"/>
    </xf>
    <xf numFmtId="0" fontId="48" fillId="12" borderId="0" xfId="0" applyFont="1" applyFill="1" applyAlignment="1">
      <alignment horizontal="right" vertical="center"/>
    </xf>
    <xf numFmtId="37" fontId="42" fillId="3" borderId="0" xfId="5" quotePrefix="1" applyNumberFormat="1" applyFont="1" applyFill="1" applyAlignment="1">
      <alignment horizontal="left" vertical="center"/>
    </xf>
    <xf numFmtId="0" fontId="77" fillId="3" borderId="0" xfId="0" applyFont="1" applyFill="1"/>
    <xf numFmtId="0" fontId="76" fillId="3" borderId="0" xfId="0" applyFont="1" applyFill="1"/>
    <xf numFmtId="0" fontId="45" fillId="3" borderId="0" xfId="0" applyFont="1" applyFill="1" applyAlignment="1">
      <alignment horizontal="right" vertical="center" wrapText="1"/>
    </xf>
    <xf numFmtId="0" fontId="45" fillId="3" borderId="0" xfId="0" applyFont="1" applyFill="1" applyAlignment="1">
      <alignment horizontal="right" vertical="center"/>
    </xf>
    <xf numFmtId="37" fontId="3" fillId="3" borderId="3" xfId="7" applyNumberFormat="1" applyFont="1" applyFill="1" applyBorder="1" applyAlignment="1">
      <alignment vertical="center"/>
    </xf>
    <xf numFmtId="173" fontId="48" fillId="3" borderId="0" xfId="0" applyNumberFormat="1" applyFont="1" applyFill="1" applyAlignment="1">
      <alignment horizontal="right" vertical="center"/>
    </xf>
    <xf numFmtId="179" fontId="48" fillId="3" borderId="0" xfId="0" applyNumberFormat="1" applyFont="1" applyFill="1" applyAlignment="1">
      <alignment horizontal="right" vertical="center"/>
    </xf>
    <xf numFmtId="178" fontId="48" fillId="12" borderId="0" xfId="0" applyNumberFormat="1" applyFont="1" applyFill="1" applyAlignment="1">
      <alignment horizontal="right" vertical="center"/>
    </xf>
    <xf numFmtId="173" fontId="48" fillId="12" borderId="0" xfId="0" applyNumberFormat="1" applyFont="1" applyFill="1" applyAlignment="1">
      <alignment horizontal="right" vertical="center"/>
    </xf>
    <xf numFmtId="4" fontId="48" fillId="12" borderId="0" xfId="0" applyNumberFormat="1" applyFont="1" applyFill="1" applyAlignment="1">
      <alignment horizontal="right" vertical="center"/>
    </xf>
    <xf numFmtId="178" fontId="6" fillId="12" borderId="0" xfId="0" applyNumberFormat="1" applyFont="1" applyFill="1" applyAlignment="1">
      <alignment horizontal="right" vertical="center"/>
    </xf>
    <xf numFmtId="170" fontId="6" fillId="3" borderId="0" xfId="5" applyNumberFormat="1" applyFont="1" applyFill="1" applyAlignment="1">
      <alignment horizontal="right" vertical="center"/>
    </xf>
    <xf numFmtId="179" fontId="48" fillId="12" borderId="0" xfId="0" applyNumberFormat="1" applyFont="1" applyFill="1" applyAlignment="1">
      <alignment horizontal="right" vertical="center"/>
    </xf>
    <xf numFmtId="184" fontId="48" fillId="12" borderId="0" xfId="0" applyNumberFormat="1" applyFont="1" applyFill="1" applyAlignment="1">
      <alignment horizontal="right" vertical="center"/>
    </xf>
    <xf numFmtId="177" fontId="6" fillId="3" borderId="0" xfId="5" applyNumberFormat="1" applyFont="1" applyFill="1" applyAlignment="1">
      <alignment horizontal="right" vertical="center"/>
    </xf>
    <xf numFmtId="0" fontId="37" fillId="3" borderId="0" xfId="5" applyFont="1" applyFill="1"/>
    <xf numFmtId="0" fontId="36" fillId="3" borderId="0" xfId="5" applyFont="1" applyFill="1" applyAlignment="1">
      <alignment horizontal="left" vertical="center"/>
    </xf>
    <xf numFmtId="0" fontId="36" fillId="3" borderId="0" xfId="5" applyFont="1" applyFill="1" applyAlignment="1">
      <alignment horizontal="right" vertical="center"/>
    </xf>
    <xf numFmtId="0" fontId="18" fillId="3" borderId="0" xfId="0" applyFont="1" applyFill="1" applyAlignment="1">
      <alignment horizontal="left" vertical="center" indent="4"/>
    </xf>
    <xf numFmtId="0" fontId="56" fillId="3" borderId="0" xfId="4" applyFont="1" applyFill="1" applyAlignment="1" applyProtection="1">
      <alignment vertical="center" wrapText="1"/>
    </xf>
    <xf numFmtId="3" fontId="6" fillId="7" borderId="0" xfId="0" applyNumberFormat="1" applyFont="1" applyFill="1" applyAlignment="1">
      <alignment horizontal="right" vertical="center" wrapText="1"/>
    </xf>
    <xf numFmtId="185" fontId="6" fillId="3" borderId="0" xfId="6" applyNumberFormat="1" applyFont="1" applyFill="1" applyAlignment="1">
      <alignment horizontal="right" vertical="center"/>
    </xf>
    <xf numFmtId="9" fontId="6" fillId="3" borderId="0" xfId="6" applyFont="1" applyFill="1" applyAlignment="1" applyProtection="1">
      <alignment horizontal="right" vertical="center"/>
    </xf>
    <xf numFmtId="165" fontId="10" fillId="3" borderId="0" xfId="7" applyNumberFormat="1" applyFont="1" applyFill="1" applyAlignment="1">
      <alignment horizontal="right" vertical="center"/>
    </xf>
    <xf numFmtId="171" fontId="6" fillId="7" borderId="0" xfId="0" applyNumberFormat="1" applyFont="1" applyFill="1" applyAlignment="1">
      <alignment horizontal="right" vertical="center"/>
    </xf>
    <xf numFmtId="3" fontId="5" fillId="7" borderId="0" xfId="0" applyNumberFormat="1" applyFont="1" applyFill="1" applyAlignment="1">
      <alignment horizontal="right" vertical="center"/>
    </xf>
    <xf numFmtId="164" fontId="5" fillId="7" borderId="0" xfId="0" applyNumberFormat="1" applyFont="1" applyFill="1" applyAlignment="1">
      <alignment horizontal="right" vertical="center" wrapText="1"/>
    </xf>
    <xf numFmtId="2" fontId="5" fillId="7" borderId="0" xfId="0" applyNumberFormat="1" applyFont="1" applyFill="1" applyAlignment="1">
      <alignment horizontal="right" vertical="center"/>
    </xf>
    <xf numFmtId="164" fontId="6" fillId="3" borderId="0" xfId="5" applyNumberFormat="1" applyFont="1" applyFill="1" applyAlignment="1">
      <alignment horizontal="right" vertical="center"/>
    </xf>
    <xf numFmtId="2" fontId="46" fillId="7" borderId="0" xfId="0" applyNumberFormat="1" applyFont="1" applyFill="1" applyAlignment="1">
      <alignment horizontal="right" vertical="center"/>
    </xf>
    <xf numFmtId="0" fontId="7" fillId="3" borderId="0" xfId="5" applyFont="1" applyFill="1" applyAlignment="1">
      <alignment horizontal="left" vertical="center" wrapText="1"/>
    </xf>
    <xf numFmtId="0" fontId="68" fillId="3" borderId="0" xfId="5" applyFont="1" applyFill="1" applyAlignment="1">
      <alignment horizontal="left" vertical="center"/>
    </xf>
    <xf numFmtId="176" fontId="46" fillId="3" borderId="0" xfId="0" applyNumberFormat="1" applyFont="1" applyFill="1" applyAlignment="1">
      <alignment horizontal="right" vertical="center"/>
    </xf>
    <xf numFmtId="186" fontId="46" fillId="3" borderId="0" xfId="0" applyNumberFormat="1" applyFont="1" applyFill="1" applyAlignment="1">
      <alignment horizontal="right" vertical="center"/>
    </xf>
    <xf numFmtId="169" fontId="46" fillId="3" borderId="0" xfId="0" applyNumberFormat="1" applyFont="1" applyFill="1" applyAlignment="1">
      <alignment horizontal="right" vertical="center"/>
    </xf>
    <xf numFmtId="169" fontId="6" fillId="7" borderId="0" xfId="5" applyNumberFormat="1" applyFont="1" applyFill="1" applyAlignment="1">
      <alignment horizontal="right" vertical="center"/>
    </xf>
    <xf numFmtId="37" fontId="6" fillId="0" borderId="0" xfId="0" applyNumberFormat="1" applyFont="1" applyAlignment="1">
      <alignment horizontal="left" vertical="center" wrapText="1"/>
    </xf>
    <xf numFmtId="0" fontId="8" fillId="0" borderId="0" xfId="0" applyFont="1" applyAlignment="1">
      <alignment horizontal="left" vertical="center" wrapText="1"/>
    </xf>
    <xf numFmtId="164" fontId="5" fillId="0" borderId="0" xfId="0" applyNumberFormat="1" applyFont="1" applyAlignment="1" applyProtection="1">
      <alignment horizontal="right" vertical="center"/>
      <protection locked="0"/>
    </xf>
    <xf numFmtId="174" fontId="6" fillId="0" borderId="0" xfId="0" applyNumberFormat="1" applyFont="1" applyAlignment="1" applyProtection="1">
      <alignment horizontal="right" vertical="center"/>
      <protection locked="0"/>
    </xf>
    <xf numFmtId="0" fontId="35" fillId="3" borderId="0" xfId="7" applyFont="1" applyFill="1" applyAlignment="1">
      <alignment vertical="center" wrapText="1"/>
    </xf>
    <xf numFmtId="0" fontId="6" fillId="3" borderId="0" xfId="5" applyFont="1" applyFill="1" applyAlignment="1">
      <alignment horizontal="left" vertical="center" wrapText="1"/>
    </xf>
    <xf numFmtId="0" fontId="36" fillId="3" borderId="0" xfId="7" applyFont="1" applyFill="1" applyAlignment="1">
      <alignment horizontal="left" vertical="center" wrapText="1"/>
    </xf>
    <xf numFmtId="0" fontId="36" fillId="3" borderId="0" xfId="7" applyFont="1" applyFill="1" applyAlignment="1">
      <alignment horizontal="right" vertical="center" wrapText="1"/>
    </xf>
    <xf numFmtId="173" fontId="5" fillId="7" borderId="0" xfId="0" applyNumberFormat="1" applyFont="1" applyFill="1" applyAlignment="1">
      <alignment horizontal="right" vertical="center"/>
    </xf>
    <xf numFmtId="0" fontId="0" fillId="3" borderId="0" xfId="0" applyFill="1" applyAlignment="1">
      <alignment vertical="top" wrapText="1"/>
    </xf>
    <xf numFmtId="174" fontId="5" fillId="7" borderId="0" xfId="0" applyNumberFormat="1" applyFont="1" applyFill="1" applyAlignment="1" applyProtection="1">
      <alignment horizontal="right" vertical="center"/>
      <protection locked="0"/>
    </xf>
    <xf numFmtId="166" fontId="6" fillId="7" borderId="0" xfId="0" applyNumberFormat="1" applyFont="1" applyFill="1" applyAlignment="1" applyProtection="1">
      <alignment horizontal="right" vertical="center"/>
      <protection locked="0"/>
    </xf>
    <xf numFmtId="0" fontId="105" fillId="3" borderId="0" xfId="0" applyFont="1" applyFill="1" applyAlignment="1">
      <alignment vertical="top" wrapText="1"/>
    </xf>
    <xf numFmtId="0" fontId="106" fillId="3" borderId="0" xfId="5" applyFont="1" applyFill="1" applyAlignment="1">
      <alignment vertical="top"/>
    </xf>
    <xf numFmtId="165" fontId="6" fillId="7" borderId="0" xfId="7" applyNumberFormat="1" applyFont="1" applyFill="1" applyAlignment="1">
      <alignment horizontal="right" vertical="center" wrapText="1"/>
    </xf>
    <xf numFmtId="168" fontId="46" fillId="7" borderId="0" xfId="0" applyNumberFormat="1" applyFont="1" applyFill="1" applyAlignment="1">
      <alignment horizontal="right" vertical="center"/>
    </xf>
    <xf numFmtId="176" fontId="46" fillId="7" borderId="0" xfId="0" applyNumberFormat="1" applyFont="1" applyFill="1" applyAlignment="1">
      <alignment horizontal="right" vertical="center"/>
    </xf>
    <xf numFmtId="186" fontId="46" fillId="7" borderId="0" xfId="0" applyNumberFormat="1" applyFont="1" applyFill="1" applyAlignment="1">
      <alignment horizontal="right" vertical="center"/>
    </xf>
    <xf numFmtId="176" fontId="6" fillId="7" borderId="0" xfId="7" applyNumberFormat="1" applyFont="1" applyFill="1" applyAlignment="1">
      <alignment horizontal="right" vertical="center"/>
    </xf>
    <xf numFmtId="0" fontId="106" fillId="0" borderId="0" xfId="5" applyFont="1" applyAlignment="1">
      <alignment vertical="top" wrapText="1"/>
    </xf>
    <xf numFmtId="0" fontId="74" fillId="3" borderId="0" xfId="7" applyFont="1" applyFill="1" applyAlignment="1">
      <alignment horizontal="left" vertical="center"/>
    </xf>
    <xf numFmtId="37" fontId="3" fillId="3" borderId="3" xfId="7" applyNumberFormat="1" applyFont="1" applyFill="1" applyBorder="1" applyAlignment="1">
      <alignment horizontal="left" vertical="center"/>
    </xf>
    <xf numFmtId="0" fontId="74" fillId="3" borderId="0" xfId="5" applyFont="1" applyFill="1" applyAlignment="1">
      <alignment horizontal="left" vertical="center"/>
    </xf>
    <xf numFmtId="37" fontId="6" fillId="3" borderId="0" xfId="5" applyNumberFormat="1" applyFont="1" applyFill="1" applyAlignment="1">
      <alignment horizontal="left" vertical="center" wrapText="1" indent="4"/>
    </xf>
    <xf numFmtId="3" fontId="5" fillId="3" borderId="0" xfId="2" applyNumberFormat="1" applyFont="1" applyFill="1" applyAlignment="1" applyProtection="1">
      <alignment horizontal="right" vertical="center"/>
    </xf>
    <xf numFmtId="174" fontId="6" fillId="7" borderId="0" xfId="7" applyNumberFormat="1" applyFont="1" applyFill="1" applyAlignment="1">
      <alignment horizontal="right" vertical="center" wrapText="1"/>
    </xf>
    <xf numFmtId="49" fontId="46" fillId="3" borderId="0" xfId="5" applyNumberFormat="1" applyFont="1" applyFill="1" applyAlignment="1">
      <alignment horizontal="right" vertical="center"/>
    </xf>
    <xf numFmtId="2" fontId="6" fillId="12" borderId="0" xfId="0" applyNumberFormat="1" applyFont="1" applyFill="1" applyAlignment="1">
      <alignment horizontal="right" vertical="center"/>
    </xf>
    <xf numFmtId="4" fontId="48" fillId="3" borderId="0" xfId="0" applyNumberFormat="1" applyFont="1" applyFill="1" applyAlignment="1">
      <alignment horizontal="right" vertical="center"/>
    </xf>
    <xf numFmtId="2" fontId="6" fillId="3" borderId="0" xfId="5" applyNumberFormat="1" applyFont="1" applyFill="1" applyAlignment="1">
      <alignment horizontal="right" vertical="center"/>
    </xf>
    <xf numFmtId="174" fontId="6" fillId="7" borderId="0" xfId="0" applyNumberFormat="1" applyFont="1" applyFill="1" applyAlignment="1" applyProtection="1">
      <alignment horizontal="right" vertical="center"/>
      <protection locked="0"/>
    </xf>
    <xf numFmtId="0" fontId="108" fillId="0" borderId="0" xfId="0" applyFont="1" applyAlignment="1">
      <alignment horizontal="justify" vertical="center"/>
    </xf>
    <xf numFmtId="0" fontId="108" fillId="0" borderId="0" xfId="0" applyFont="1" applyAlignment="1">
      <alignment vertical="center"/>
    </xf>
    <xf numFmtId="0" fontId="107" fillId="0" borderId="0" xfId="0" applyFont="1"/>
    <xf numFmtId="0" fontId="107" fillId="0" borderId="0" xfId="0" applyFont="1" applyAlignment="1">
      <alignment horizontal="justify" vertical="center"/>
    </xf>
    <xf numFmtId="0" fontId="110" fillId="0" borderId="0" xfId="0" applyFont="1" applyAlignment="1">
      <alignment horizontal="justify" vertical="center"/>
    </xf>
    <xf numFmtId="0" fontId="35" fillId="0" borderId="0" xfId="7" applyFont="1" applyAlignment="1">
      <alignment horizontal="right"/>
    </xf>
    <xf numFmtId="0" fontId="35" fillId="3" borderId="0" xfId="7" applyFont="1" applyFill="1" applyAlignment="1">
      <alignment horizontal="right" wrapText="1"/>
    </xf>
    <xf numFmtId="0" fontId="109" fillId="0" borderId="0" xfId="0" applyFont="1" applyAlignment="1">
      <alignment vertical="center"/>
    </xf>
    <xf numFmtId="0" fontId="6" fillId="3" borderId="0" xfId="5" applyFont="1" applyFill="1" applyAlignment="1">
      <alignment horizontal="right" vertical="center" wrapText="1"/>
    </xf>
    <xf numFmtId="0" fontId="108" fillId="3" borderId="0" xfId="0" applyFont="1" applyFill="1"/>
    <xf numFmtId="0" fontId="108" fillId="3" borderId="0" xfId="0" applyFont="1" applyFill="1" applyAlignment="1">
      <alignment horizontal="justify" vertical="center"/>
    </xf>
    <xf numFmtId="0" fontId="35" fillId="0" borderId="0" xfId="5" applyFont="1" applyAlignment="1">
      <alignment horizontal="right" vertical="center"/>
    </xf>
    <xf numFmtId="0" fontId="108" fillId="0" borderId="0" xfId="0" applyFont="1"/>
    <xf numFmtId="0" fontId="35" fillId="0" borderId="0" xfId="5" applyFont="1" applyAlignment="1">
      <alignment horizontal="right"/>
    </xf>
    <xf numFmtId="49" fontId="41" fillId="0" borderId="0" xfId="5" applyNumberFormat="1" applyFont="1" applyAlignment="1">
      <alignment horizontal="right" vertical="center"/>
    </xf>
    <xf numFmtId="0" fontId="37" fillId="0" borderId="0" xfId="5" applyFont="1" applyAlignment="1">
      <alignment wrapText="1"/>
    </xf>
    <xf numFmtId="167" fontId="35" fillId="3" borderId="0" xfId="7" applyNumberFormat="1" applyFont="1" applyFill="1" applyAlignment="1">
      <alignment horizontal="right"/>
    </xf>
    <xf numFmtId="166" fontId="6" fillId="0" borderId="0" xfId="7" applyNumberFormat="1" applyFont="1" applyAlignment="1">
      <alignment horizontal="right" vertical="center"/>
    </xf>
    <xf numFmtId="0" fontId="108" fillId="3" borderId="0" xfId="0" applyFont="1" applyFill="1" applyAlignment="1">
      <alignment vertical="center"/>
    </xf>
    <xf numFmtId="3" fontId="35" fillId="3" borderId="0" xfId="7" applyNumberFormat="1" applyFont="1" applyFill="1" applyAlignment="1">
      <alignment horizontal="right"/>
    </xf>
    <xf numFmtId="0" fontId="107" fillId="3" borderId="0" xfId="0" applyFont="1" applyFill="1"/>
    <xf numFmtId="0" fontId="109" fillId="3" borderId="0" xfId="0" applyFont="1" applyFill="1" applyAlignment="1">
      <alignment vertical="center"/>
    </xf>
    <xf numFmtId="0" fontId="107" fillId="3" borderId="0" xfId="0" applyFont="1" applyFill="1" applyAlignment="1">
      <alignment horizontal="justify" vertical="center"/>
    </xf>
    <xf numFmtId="49" fontId="11" fillId="3" borderId="0" xfId="7" applyNumberFormat="1" applyFont="1" applyFill="1" applyAlignment="1">
      <alignment horizontal="right" vertical="center" wrapText="1"/>
    </xf>
    <xf numFmtId="173" fontId="6" fillId="7" borderId="0" xfId="0" applyNumberFormat="1" applyFont="1" applyFill="1" applyAlignment="1">
      <alignment horizontal="right" vertical="center"/>
    </xf>
    <xf numFmtId="167" fontId="6" fillId="7" borderId="0" xfId="0" applyNumberFormat="1" applyFont="1" applyFill="1" applyAlignment="1">
      <alignment horizontal="right" vertical="center"/>
    </xf>
    <xf numFmtId="164" fontId="6" fillId="7" borderId="0" xfId="0" applyNumberFormat="1" applyFont="1" applyFill="1" applyAlignment="1">
      <alignment horizontal="right" vertical="center"/>
    </xf>
    <xf numFmtId="168" fontId="6" fillId="7" borderId="0" xfId="0" applyNumberFormat="1" applyFont="1" applyFill="1" applyAlignment="1">
      <alignment horizontal="right" vertical="center"/>
    </xf>
    <xf numFmtId="174" fontId="6" fillId="7" borderId="0" xfId="0" applyNumberFormat="1" applyFont="1" applyFill="1" applyAlignment="1">
      <alignment horizontal="right" vertical="center"/>
    </xf>
    <xf numFmtId="175" fontId="6" fillId="7" borderId="0" xfId="1" applyNumberFormat="1" applyFont="1" applyFill="1" applyAlignment="1" applyProtection="1">
      <alignment horizontal="right" vertical="center"/>
    </xf>
    <xf numFmtId="38" fontId="5" fillId="7" borderId="0" xfId="0" applyNumberFormat="1" applyFont="1" applyFill="1" applyAlignment="1" applyProtection="1">
      <alignment horizontal="right" vertical="center"/>
      <protection locked="0"/>
    </xf>
    <xf numFmtId="0" fontId="6" fillId="13" borderId="0" xfId="0" applyFont="1" applyFill="1" applyAlignment="1">
      <alignment horizontal="right" vertical="center"/>
    </xf>
    <xf numFmtId="4" fontId="6" fillId="13" borderId="0" xfId="0" applyNumberFormat="1" applyFont="1" applyFill="1" applyAlignment="1">
      <alignment horizontal="right" vertical="center"/>
    </xf>
    <xf numFmtId="2" fontId="35" fillId="7" borderId="0" xfId="5" applyNumberFormat="1" applyFont="1" applyFill="1" applyAlignment="1">
      <alignment horizontal="right" vertical="center"/>
    </xf>
    <xf numFmtId="0" fontId="35" fillId="7" borderId="0" xfId="5" applyFont="1" applyFill="1" applyAlignment="1">
      <alignment horizontal="right" vertical="center"/>
    </xf>
    <xf numFmtId="187" fontId="48" fillId="7" borderId="0" xfId="1" applyNumberFormat="1" applyFont="1" applyFill="1" applyAlignment="1">
      <alignment horizontal="right" vertical="center"/>
    </xf>
    <xf numFmtId="0" fontId="48" fillId="13" borderId="0" xfId="0" applyFont="1" applyFill="1" applyAlignment="1">
      <alignment horizontal="right" vertical="center"/>
    </xf>
    <xf numFmtId="0" fontId="6" fillId="7" borderId="0" xfId="0" applyFont="1" applyFill="1" applyAlignment="1">
      <alignment horizontal="right" vertical="center"/>
    </xf>
    <xf numFmtId="3" fontId="48" fillId="7" borderId="0" xfId="0" applyNumberFormat="1" applyFont="1" applyFill="1" applyAlignment="1">
      <alignment horizontal="right" vertical="center"/>
    </xf>
    <xf numFmtId="4" fontId="48" fillId="7" borderId="0" xfId="0" applyNumberFormat="1" applyFont="1" applyFill="1" applyAlignment="1">
      <alignment horizontal="right" vertical="center"/>
    </xf>
    <xf numFmtId="173" fontId="48" fillId="7" borderId="0" xfId="0" applyNumberFormat="1" applyFont="1" applyFill="1" applyAlignment="1">
      <alignment horizontal="right" vertical="center"/>
    </xf>
    <xf numFmtId="170" fontId="35" fillId="7" borderId="0" xfId="5" applyNumberFormat="1" applyFont="1" applyFill="1" applyAlignment="1">
      <alignment horizontal="right" vertical="center"/>
    </xf>
    <xf numFmtId="0" fontId="6" fillId="7" borderId="0" xfId="0" applyFont="1" applyFill="1" applyAlignment="1" applyProtection="1">
      <alignment horizontal="right" vertical="center"/>
      <protection locked="0"/>
    </xf>
    <xf numFmtId="173" fontId="48" fillId="13" borderId="0" xfId="0" applyNumberFormat="1" applyFont="1" applyFill="1" applyAlignment="1">
      <alignment horizontal="right" vertical="center"/>
    </xf>
    <xf numFmtId="1" fontId="35" fillId="7" borderId="0" xfId="5" applyNumberFormat="1" applyFont="1" applyFill="1" applyAlignment="1">
      <alignment horizontal="right" vertical="center"/>
    </xf>
    <xf numFmtId="3" fontId="5" fillId="7" borderId="0" xfId="2" applyNumberFormat="1" applyFont="1" applyFill="1" applyAlignment="1" applyProtection="1">
      <alignment horizontal="right" vertical="center"/>
    </xf>
    <xf numFmtId="178" fontId="48" fillId="13" borderId="0" xfId="0" applyNumberFormat="1" applyFont="1" applyFill="1" applyAlignment="1">
      <alignment horizontal="right" vertical="center"/>
    </xf>
    <xf numFmtId="179" fontId="48" fillId="7" borderId="0" xfId="0" applyNumberFormat="1" applyFont="1" applyFill="1" applyAlignment="1">
      <alignment horizontal="right" vertical="center"/>
    </xf>
    <xf numFmtId="4" fontId="48" fillId="13" borderId="0" xfId="0" applyNumberFormat="1" applyFont="1" applyFill="1" applyAlignment="1">
      <alignment horizontal="right" vertical="center"/>
    </xf>
    <xf numFmtId="179" fontId="6" fillId="13" borderId="0" xfId="0" applyNumberFormat="1" applyFont="1" applyFill="1" applyAlignment="1">
      <alignment horizontal="right" vertical="center"/>
    </xf>
    <xf numFmtId="170" fontId="6" fillId="7" borderId="0" xfId="5" applyNumberFormat="1" applyFont="1" applyFill="1" applyAlignment="1">
      <alignment horizontal="right" vertical="center"/>
    </xf>
    <xf numFmtId="178" fontId="6" fillId="13" borderId="0" xfId="0" applyNumberFormat="1" applyFont="1" applyFill="1" applyAlignment="1">
      <alignment horizontal="right" vertical="center"/>
    </xf>
    <xf numFmtId="1" fontId="48" fillId="13" borderId="0" xfId="6" applyNumberFormat="1" applyFont="1" applyFill="1" applyAlignment="1">
      <alignment horizontal="right" vertical="center"/>
    </xf>
    <xf numFmtId="1" fontId="6" fillId="13" borderId="0" xfId="6" applyNumberFormat="1" applyFont="1" applyFill="1" applyAlignment="1">
      <alignment horizontal="right" vertical="center"/>
    </xf>
    <xf numFmtId="181" fontId="5" fillId="7" borderId="0" xfId="0" applyNumberFormat="1" applyFont="1" applyFill="1" applyAlignment="1" applyProtection="1">
      <alignment horizontal="right" vertical="center"/>
      <protection locked="0"/>
    </xf>
    <xf numFmtId="165" fontId="35" fillId="7" borderId="0" xfId="0" applyNumberFormat="1" applyFont="1" applyFill="1" applyAlignment="1">
      <alignment horizontal="right" vertical="center"/>
    </xf>
    <xf numFmtId="3" fontId="46" fillId="7" borderId="0" xfId="5" applyNumberFormat="1" applyFont="1" applyFill="1" applyAlignment="1">
      <alignment horizontal="right" vertical="center"/>
    </xf>
    <xf numFmtId="0" fontId="8" fillId="3" borderId="0" xfId="7" applyFont="1" applyFill="1" applyAlignment="1">
      <alignment horizontal="right" vertical="center" wrapText="1"/>
    </xf>
    <xf numFmtId="175" fontId="6" fillId="7" borderId="0" xfId="1" applyNumberFormat="1" applyFont="1" applyFill="1" applyAlignment="1">
      <alignment horizontal="right" vertical="center"/>
    </xf>
    <xf numFmtId="0" fontId="8" fillId="3" borderId="0" xfId="7" applyFont="1" applyFill="1" applyAlignment="1">
      <alignment horizontal="right" vertical="center" wrapText="1"/>
    </xf>
    <xf numFmtId="0" fontId="96" fillId="3" borderId="0" xfId="5" applyFont="1" applyFill="1" applyAlignment="1">
      <alignment horizontal="right" vertical="center" wrapText="1"/>
    </xf>
    <xf numFmtId="0" fontId="72" fillId="3" borderId="0" xfId="7" applyFont="1" applyFill="1" applyAlignment="1">
      <alignment horizontal="center" vertical="center" wrapText="1"/>
    </xf>
    <xf numFmtId="0" fontId="7" fillId="3" borderId="4" xfId="7" applyFont="1" applyFill="1" applyBorder="1" applyAlignment="1">
      <alignment horizontal="left" vertical="center"/>
    </xf>
    <xf numFmtId="0" fontId="7" fillId="3" borderId="0" xfId="7" applyFont="1" applyFill="1" applyAlignment="1">
      <alignment horizontal="left" vertical="center"/>
    </xf>
    <xf numFmtId="0" fontId="112" fillId="3" borderId="0" xfId="5" applyFont="1" applyFill="1" applyAlignment="1">
      <alignment horizontal="right" vertical="center"/>
    </xf>
    <xf numFmtId="0" fontId="113" fillId="3" borderId="0" xfId="5" applyFont="1" applyFill="1" applyAlignment="1">
      <alignment horizontal="right" vertical="center"/>
    </xf>
    <xf numFmtId="3" fontId="112" fillId="3" borderId="0" xfId="5" applyNumberFormat="1" applyFont="1" applyFill="1" applyAlignment="1">
      <alignment horizontal="right" vertical="center"/>
    </xf>
    <xf numFmtId="0" fontId="114" fillId="3" borderId="0" xfId="5" applyFont="1" applyFill="1" applyAlignment="1">
      <alignment horizontal="left" vertical="center"/>
    </xf>
    <xf numFmtId="0" fontId="115" fillId="3" borderId="0" xfId="5" applyFont="1" applyFill="1" applyAlignment="1">
      <alignment horizontal="right" vertical="center"/>
    </xf>
    <xf numFmtId="0" fontId="116" fillId="23" borderId="0" xfId="5" applyFont="1" applyFill="1" applyAlignment="1">
      <alignment horizontal="right" vertical="center" wrapText="1"/>
    </xf>
    <xf numFmtId="0" fontId="106" fillId="3" borderId="0" xfId="5" applyFont="1" applyFill="1"/>
    <xf numFmtId="0" fontId="112" fillId="3" borderId="3" xfId="5" applyFont="1" applyFill="1" applyBorder="1" applyAlignment="1">
      <alignment horizontal="right" vertical="center"/>
    </xf>
    <xf numFmtId="178" fontId="48" fillId="3" borderId="0" xfId="0" applyNumberFormat="1" applyFont="1" applyFill="1" applyAlignment="1">
      <alignment horizontal="right" vertical="center"/>
    </xf>
    <xf numFmtId="0" fontId="8" fillId="3" borderId="0" xfId="7" applyFont="1" applyFill="1" applyAlignment="1">
      <alignment horizontal="right" vertical="center" wrapText="1"/>
    </xf>
    <xf numFmtId="37" fontId="3" fillId="3" borderId="0" xfId="7" applyNumberFormat="1" applyFont="1" applyFill="1" applyAlignment="1">
      <alignment horizontal="left" vertical="center" wrapText="1"/>
    </xf>
    <xf numFmtId="37" fontId="3" fillId="3" borderId="0" xfId="7" applyNumberFormat="1" applyFont="1" applyFill="1" applyAlignment="1">
      <alignment horizontal="left" vertical="center"/>
    </xf>
    <xf numFmtId="0" fontId="56" fillId="3" borderId="0" xfId="4" applyFont="1" applyFill="1" applyAlignment="1" applyProtection="1">
      <alignment horizontal="left" vertical="center" wrapText="1"/>
    </xf>
  </cellXfs>
  <cellStyles count="19">
    <cellStyle name="Comma 2" xfId="2"/>
    <cellStyle name="Comma 3" xfId="12"/>
    <cellStyle name="fa_row_header_bold 2" xfId="3"/>
    <cellStyle name="Normal 2" xfId="5"/>
    <cellStyle name="Normal 2 2" xfId="11"/>
    <cellStyle name="Normal 3" xfId="10"/>
    <cellStyle name="Percent 2" xfId="14"/>
    <cellStyle name="Гиперссылка" xfId="4" builtinId="8"/>
    <cellStyle name="Обычный" xfId="0" builtinId="0"/>
    <cellStyle name="Обычный 2" xfId="7"/>
    <cellStyle name="Обычный 2 2" xfId="13"/>
    <cellStyle name="Обычный 2 3" xfId="15"/>
    <cellStyle name="Обычный 2 3 2" xfId="16"/>
    <cellStyle name="Обычный 2 3 3" xfId="17"/>
    <cellStyle name="Обычный 3" xfId="8"/>
    <cellStyle name="Обычный 3 2" xfId="18"/>
    <cellStyle name="Процентный" xfId="6" builtinId="5"/>
    <cellStyle name="Финансовый" xfId="1" builtinId="3"/>
    <cellStyle name="Финансовый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7" dropStyle="combo" dx="31" fmlaLink="$B$2" fmlaRange="$B$3:$B$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1</xdr:row>
          <xdr:rowOff>9525</xdr:rowOff>
        </xdr:from>
        <xdr:to>
          <xdr:col>2</xdr:col>
          <xdr:colOff>2085975</xdr:colOff>
          <xdr:row>2</xdr:row>
          <xdr:rowOff>9525</xdr:rowOff>
        </xdr:to>
        <xdr:sp macro="" textlink="">
          <xdr:nvSpPr>
            <xdr:cNvPr id="1531" name="Drop Dow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6350</xdr:colOff>
      <xdr:row>4</xdr:row>
      <xdr:rowOff>25400</xdr:rowOff>
    </xdr:from>
    <xdr:to>
      <xdr:col>2</xdr:col>
      <xdr:colOff>5251450</xdr:colOff>
      <xdr:row>4</xdr:row>
      <xdr:rowOff>2419350</xdr:rowOff>
    </xdr:to>
    <xdr:pic>
      <xdr:nvPicPr>
        <xdr:cNvPr id="125976" name="Рисунок 1">
          <a:extLst>
            <a:ext uri="{FF2B5EF4-FFF2-40B4-BE49-F238E27FC236}">
              <a16:creationId xmlns:a16="http://schemas.microsoft.com/office/drawing/2014/main" id="{00000000-0008-0000-0000-000018E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762000"/>
          <a:ext cx="6477000" cy="227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0236" name="Рисунок 1">
          <a:extLst>
            <a:ext uri="{FF2B5EF4-FFF2-40B4-BE49-F238E27FC236}">
              <a16:creationId xmlns:a16="http://schemas.microsoft.com/office/drawing/2014/main" id="{00000000-0008-0000-0900-00008C87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31750</xdr:rowOff>
    </xdr:from>
    <xdr:to>
      <xdr:col>1</xdr:col>
      <xdr:colOff>3619500</xdr:colOff>
      <xdr:row>1</xdr:row>
      <xdr:rowOff>6350</xdr:rowOff>
    </xdr:to>
    <xdr:pic>
      <xdr:nvPicPr>
        <xdr:cNvPr id="127048" name="Рисунок 1">
          <a:extLst>
            <a:ext uri="{FF2B5EF4-FFF2-40B4-BE49-F238E27FC236}">
              <a16:creationId xmlns:a16="http://schemas.microsoft.com/office/drawing/2014/main" id="{00000000-0008-0000-0100-000048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31750</xdr:rowOff>
    </xdr:from>
    <xdr:to>
      <xdr:col>1</xdr:col>
      <xdr:colOff>3619500</xdr:colOff>
      <xdr:row>1</xdr:row>
      <xdr:rowOff>6350</xdr:rowOff>
    </xdr:to>
    <xdr:pic>
      <xdr:nvPicPr>
        <xdr:cNvPr id="127049" name="Рисунок 1">
          <a:extLst>
            <a:ext uri="{FF2B5EF4-FFF2-40B4-BE49-F238E27FC236}">
              <a16:creationId xmlns:a16="http://schemas.microsoft.com/office/drawing/2014/main" id="{00000000-0008-0000-0100-000049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31750</xdr:rowOff>
    </xdr:from>
    <xdr:to>
      <xdr:col>1</xdr:col>
      <xdr:colOff>3619500</xdr:colOff>
      <xdr:row>1</xdr:row>
      <xdr:rowOff>6350</xdr:rowOff>
    </xdr:to>
    <xdr:pic>
      <xdr:nvPicPr>
        <xdr:cNvPr id="127050" name="Рисунок 1">
          <a:extLst>
            <a:ext uri="{FF2B5EF4-FFF2-40B4-BE49-F238E27FC236}">
              <a16:creationId xmlns:a16="http://schemas.microsoft.com/office/drawing/2014/main" id="{00000000-0008-0000-0100-00004A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3212" name="Рисунок 1">
          <a:extLst>
            <a:ext uri="{FF2B5EF4-FFF2-40B4-BE49-F238E27FC236}">
              <a16:creationId xmlns:a16="http://schemas.microsoft.com/office/drawing/2014/main" id="{00000000-0008-0000-0200-00002C93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4249" name="Рисунок 1">
          <a:extLst>
            <a:ext uri="{FF2B5EF4-FFF2-40B4-BE49-F238E27FC236}">
              <a16:creationId xmlns:a16="http://schemas.microsoft.com/office/drawing/2014/main" id="{00000000-0008-0000-0300-00003997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5259" name="Рисунок 1">
          <a:extLst>
            <a:ext uri="{FF2B5EF4-FFF2-40B4-BE49-F238E27FC236}">
              <a16:creationId xmlns:a16="http://schemas.microsoft.com/office/drawing/2014/main" id="{00000000-0008-0000-0400-00002B9B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2" name="Рисунок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0"/>
          <a:ext cx="6223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0</xdr:row>
      <xdr:rowOff>1022350</xdr:rowOff>
    </xdr:to>
    <xdr:pic>
      <xdr:nvPicPr>
        <xdr:cNvPr id="2" name="Рисунок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0"/>
          <a:ext cx="36195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3613150</xdr:colOff>
      <xdr:row>1</xdr:row>
      <xdr:rowOff>0</xdr:rowOff>
    </xdr:to>
    <xdr:pic>
      <xdr:nvPicPr>
        <xdr:cNvPr id="2" name="Рисунок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9144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3613150</xdr:colOff>
      <xdr:row>1</xdr:row>
      <xdr:rowOff>0</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0"/>
          <a:ext cx="361124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husnitdinova\Documents\&#1053;&#1054;&#1042;&#1040;&#1058;&#1069;&#1050;\NVTK_2025\ESG_Data_2024_R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limate"/>
      <sheetName val="Environment"/>
      <sheetName val="Personnel"/>
      <sheetName val="Occupational health and safety"/>
      <sheetName val="Local communities"/>
      <sheetName val="Corporate governance"/>
      <sheetName val="MED"/>
      <sheetName val="MED National goals"/>
      <sheetName val="Corporate documents"/>
    </sheetNames>
    <sheetDataSet>
      <sheetData sheetId="0">
        <row r="2">
          <cell r="B2">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novatek.ru"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novatek.ru/common/upload/Charter_30_09_2019.pdf" TargetMode="External"/><Relationship Id="rId18" Type="http://schemas.openxmlformats.org/officeDocument/2006/relationships/hyperlink" Target="https://www.novatek.ru/common/upload/%D0%9F%D0%BE%D0%BB%D0%BE%D0%B6%D0%B5%D0%BD%D0%B8%D0%B5%20%D0%BE%20%D0%9F%D1%80%D0%B0%D0%B2%D0%BB%D0%B5%D0%BD%D0%B8%D0%B8%20%D0%B8%20%D0%B8%D0%B7%D0%BC%202016.pdf" TargetMode="External"/><Relationship Id="rId26" Type="http://schemas.openxmlformats.org/officeDocument/2006/relationships/hyperlink" Target="https://www.novatek.ru/common/upload/%D0%9F%D0%BE%D0%BB%D0%B8%D1%82%D0%B8%D0%BA%D0%B0%20%D0%A3%D0%92%D0%90_%D1%81%20%D0%B8%D0%B7%D0%BC%D0%B5%D0%BD%D0%B5%D0%BD%D0%B8%D1%8F%D0%BC%D0%B8%202018.pdf" TargetMode="External"/><Relationship Id="rId39" Type="http://schemas.openxmlformats.org/officeDocument/2006/relationships/hyperlink" Target="https://www.novatek.ru/en/development/targets/" TargetMode="External"/><Relationship Id="rId21" Type="http://schemas.openxmlformats.org/officeDocument/2006/relationships/hyperlink" Target="https://www.novatek.ru/common/upload/%D0%9A%D0%BE%D0%BC%D0%B8%D1%82%D0%B5%D1%82%20%D0%BF%D0%BE%20%D0%B0%D1%83%D0%B4%D0%B8%D1%82%D1%83(4).pdf" TargetMode="External"/><Relationship Id="rId34" Type="http://schemas.openxmlformats.org/officeDocument/2006/relationships/hyperlink" Target="https://www.novatek.ru/common/upload/doc/Polozhenie_o_KorpSekr(en).pdf" TargetMode="External"/><Relationship Id="rId42" Type="http://schemas.openxmlformats.org/officeDocument/2006/relationships/hyperlink" Target="https://www.novatek.ru/common/upload/doc/80_94.pdf" TargetMode="External"/><Relationship Id="rId47" Type="http://schemas.openxmlformats.org/officeDocument/2006/relationships/hyperlink" Target="https://arcticspg.ru/ustoychivoe-razvitie/raskrytie-informatsii/GHG%20and%20EE%20Philosophy.pdf" TargetMode="External"/><Relationship Id="rId50" Type="http://schemas.openxmlformats.org/officeDocument/2006/relationships/hyperlink" Target="http://yamallng.ru/upload/Annex%201.%20Scoping%20Report%20ENG%20YLNG%20Issue%204.pdf" TargetMode="External"/><Relationship Id="rId55" Type="http://schemas.openxmlformats.org/officeDocument/2006/relationships/hyperlink" Target="https://arcticspg.ru/ustoychivoe-razvitie/raskrytie-informatsii/ESHIA%20Addendum%20-%20Project%20AOI.pdf" TargetMode="External"/><Relationship Id="rId63" Type="http://schemas.openxmlformats.org/officeDocument/2006/relationships/hyperlink" Target="https://www.novatek.ru/common/upload/doc/Politika_energoeffektivnosti_ENG.pdf" TargetMode="External"/><Relationship Id="rId68" Type="http://schemas.openxmlformats.org/officeDocument/2006/relationships/hyperlink" Target="https://www.novatek.ru/en/development/iso/" TargetMode="External"/><Relationship Id="rId76" Type="http://schemas.openxmlformats.org/officeDocument/2006/relationships/hyperlink" Target="https://www.novatek.ru/en/investors/reviews/" TargetMode="External"/><Relationship Id="rId7" Type="http://schemas.openxmlformats.org/officeDocument/2006/relationships/hyperlink" Target="https://www.novatek.ru/common/upload/doc/Antikoruptsionnaya_politika_PAO_NOVATEK.pdf?ysclid=luaukwvyiw242253423" TargetMode="External"/><Relationship Id="rId71" Type="http://schemas.openxmlformats.org/officeDocument/2006/relationships/hyperlink" Target="https://www.novatek.ru/common/upload/doc/Perechen_insayd_inform.pdf" TargetMode="External"/><Relationship Id="rId2" Type="http://schemas.openxmlformats.org/officeDocument/2006/relationships/hyperlink" Target="https://www.novatek.ru/en/development/archive/" TargetMode="External"/><Relationship Id="rId16" Type="http://schemas.openxmlformats.org/officeDocument/2006/relationships/hyperlink" Target="https://www.novatek.ru/common/upload/%D0%9F%D0%BE%D0%BB%D0%BE%D0%B6%D0%B5%D0%BD%D0%B8%D0%B5%20%D0%BE%20%D0%A1%D0%94%20%D1%81%20%D0%B8%D0%B7%D0%BC%202016_CLEAN(en).pdf" TargetMode="External"/><Relationship Id="rId29" Type="http://schemas.openxmlformats.org/officeDocument/2006/relationships/hyperlink" Target="https://www.novatek.ru/common/upload/%D0%9F%D0%BE%D0%BB%D0%BE%D0%B6%D0%B5%D0%BD%D0%B8%D0%B5_%D0%9A%D0%BE%D0%BC%D0%B8%D1%82%D0%B5%D1%82%20%D0%BF%D0%BE%20%D0%B0%D1%83%D0%B4%D0%B8%D1%82%D1%83_eng(5).pdf" TargetMode="External"/><Relationship Id="rId11" Type="http://schemas.openxmlformats.org/officeDocument/2006/relationships/hyperlink" Target="https://www.novatek.ru/common/upload/doc/Politika_po_pravam_cheloveka_PAO_NOVATEK%5b1%5d.pdf" TargetMode="External"/><Relationship Id="rId24" Type="http://schemas.openxmlformats.org/officeDocument/2006/relationships/hyperlink" Target="https://www.novatek.ru/common/upload/%D0%9A%D0%BE%D0%BC%D0%B8%D1%82%D0%B5%D1%82%20%D0%BF%D0%BE%20%D1%81%D1%82%D1%80%D0%B0%D1%82%D0%B5%D0%B3%D0%B8%D0%B8(4).pdf" TargetMode="External"/><Relationship Id="rId32" Type="http://schemas.openxmlformats.org/officeDocument/2006/relationships/hyperlink" Target="https://www.novatek.ru/common/upload/doc/DivEng20.pdf" TargetMode="External"/><Relationship Id="rId37" Type="http://schemas.openxmlformats.org/officeDocument/2006/relationships/hyperlink" Target="https://www.novatek.ru/common/upload/doc/POLOZHENIE_o_voznagrazhdenii_SD_ENG.pdf" TargetMode="External"/><Relationship Id="rId40" Type="http://schemas.openxmlformats.org/officeDocument/2006/relationships/hyperlink" Target="https://www.novatek.ru/common/upload/doc/Politika_v_oblasti_Zakupok.pdf" TargetMode="External"/><Relationship Id="rId45" Type="http://schemas.openxmlformats.org/officeDocument/2006/relationships/hyperlink" Target="https://www.novatek.ru/common/upload/doc/REGULATION_OF_ACCESS_TO_INSIDER_INFORMATION.pdf" TargetMode="External"/><Relationship Id="rId53" Type="http://schemas.openxmlformats.org/officeDocument/2006/relationships/hyperlink" Target="http://yamallng.ru/upload/ESIA%20RUS%20.pdf" TargetMode="External"/><Relationship Id="rId58" Type="http://schemas.openxmlformats.org/officeDocument/2006/relationships/hyperlink" Target="http://yamallng.ru/upload/docs/Yamal%20LNG_SEP_June_2023_Eng.pdf" TargetMode="External"/><Relationship Id="rId66" Type="http://schemas.openxmlformats.org/officeDocument/2006/relationships/hyperlink" Target="https://arcticspg.ru/ustoychivoe-razvitie/raskrytie-informatsii/" TargetMode="External"/><Relationship Id="rId74" Type="http://schemas.openxmlformats.org/officeDocument/2006/relationships/hyperlink" Target="https://www.novatek.ru/ru/development/iso/" TargetMode="External"/><Relationship Id="rId79" Type="http://schemas.openxmlformats.org/officeDocument/2006/relationships/hyperlink" Target="https://www.novatek.ru/ru/esg/ratings/" TargetMode="External"/><Relationship Id="rId5" Type="http://schemas.openxmlformats.org/officeDocument/2006/relationships/hyperlink" Target="https://www.novatek.ru/common/upload/doc/KODEKS_delovoy_etiki_20.12.2024_ENG.pdf" TargetMode="External"/><Relationship Id="rId61" Type="http://schemas.openxmlformats.org/officeDocument/2006/relationships/hyperlink" Target="https://arcticspg.ru/ustoychivoe-razvitie/raskrytie-informatsii/SEP_RUS_2021.pdf" TargetMode="External"/><Relationship Id="rId82" Type="http://schemas.openxmlformats.org/officeDocument/2006/relationships/printerSettings" Target="../printerSettings/printerSettings10.bin"/><Relationship Id="rId10" Type="http://schemas.openxmlformats.org/officeDocument/2006/relationships/hyperlink" Target="https://www.novatek.ru/common/upload/doc/NOVATEK_Human_Rights_Policy%5b1%5d.pdf" TargetMode="External"/><Relationship Id="rId19" Type="http://schemas.openxmlformats.org/officeDocument/2006/relationships/hyperlink" Target="https://www.novatek.ru/common/upload/%D0%9F%D0%BE%D0%BB%D0%BE%D0%B6%D0%B5%D0%BD%D0%B8%D0%B5%20%D0%BE%20%D0%A1%D0%94%20%D1%81%20%D0%B8%D0%B7%D0%BC%202016.pdf" TargetMode="External"/><Relationship Id="rId31" Type="http://schemas.openxmlformats.org/officeDocument/2006/relationships/hyperlink" Target="https://www.novatek.ru/common/upload/%D0%9F%D0%BE%D0%BB%D0%BE%D0%B6%D0%B5%D0%BD%D0%B8%D0%B5_%D0%9A%D0%BE%D0%BC%D0%B8%D1%82%D0%B5%D1%82%20%D0%BF%D0%BE%20%D1%81%D1%82%D1%80%D0%B0%D1%82%D0%B5%D0%B3%D0%B8%D0%B8_eng(4).pdf" TargetMode="External"/><Relationship Id="rId44" Type="http://schemas.openxmlformats.org/officeDocument/2006/relationships/hyperlink" Target="https://www.novatek.ru/common/upload/doc/Polozhenie_o_poryadke_dostupa_k_insayd_inform%5b1%5d%5b1%5d.pdf" TargetMode="External"/><Relationship Id="rId52" Type="http://schemas.openxmlformats.org/officeDocument/2006/relationships/hyperlink" Target="http://yamallng.ru/upload/Annex%202.%20RUS%20PDF%20Environmental%20and%20Social%20Standards%20Issue%2011_clean%20checked%2023012015.pdf" TargetMode="External"/><Relationship Id="rId60" Type="http://schemas.openxmlformats.org/officeDocument/2006/relationships/hyperlink" Target="https://www.novatek.ru/common/upload/doc/Politika_OT_PPB_i_OOS_en.pdf" TargetMode="External"/><Relationship Id="rId65" Type="http://schemas.openxmlformats.org/officeDocument/2006/relationships/hyperlink" Target="https://www.novatek.ru/en/development/targets/" TargetMode="External"/><Relationship Id="rId73" Type="http://schemas.openxmlformats.org/officeDocument/2006/relationships/hyperlink" Target="https://www.novatek.ru/common/upload/doc/Politika_OT_PPB_i_OOS_en.pdf" TargetMode="External"/><Relationship Id="rId78" Type="http://schemas.openxmlformats.org/officeDocument/2006/relationships/hyperlink" Target="https://www.novatek.ru/en/investors/reviews/archive/" TargetMode="External"/><Relationship Id="rId81" Type="http://schemas.openxmlformats.org/officeDocument/2006/relationships/hyperlink" Target="https://www.novatek.ru/ru/investors/reviews/archive/" TargetMode="External"/><Relationship Id="rId4" Type="http://schemas.openxmlformats.org/officeDocument/2006/relationships/hyperlink" Target="https://www.novatek.ru/common/upload/doc/KODEKS_delovoy_etiki_20.12.2024.pdf" TargetMode="External"/><Relationship Id="rId9" Type="http://schemas.openxmlformats.org/officeDocument/2006/relationships/hyperlink" Target="https://www.novatek.ru/common/upload/doc/Supplier_Code_of_Conduct_for_Novatek.pdf" TargetMode="External"/><Relationship Id="rId14" Type="http://schemas.openxmlformats.org/officeDocument/2006/relationships/hyperlink" Target="https://www.novatek.ru/common/upload/%D0%9F%D0%BE%D0%BB%D0%BE%D0%B6%D0%B5%D0%BD%D0%B8%D0%B5%20%D0%BE%D0%B1%20%D0%9E%D0%A1%D0%90%20%D1%81%20%D0%B8%D0%B7%D0%BC%202016%20%D0%B3_.pdf" TargetMode="External"/><Relationship Id="rId22" Type="http://schemas.openxmlformats.org/officeDocument/2006/relationships/hyperlink" Target="https://www.novatek.ru/common/upload/7_1_Regulations%20on%20inform%20policy_RUS.pdf" TargetMode="External"/><Relationship Id="rId27" Type="http://schemas.openxmlformats.org/officeDocument/2006/relationships/hyperlink" Target="https://www.novatek.ru/common/upload/doc/SUR_ru.pdf" TargetMode="External"/><Relationship Id="rId30" Type="http://schemas.openxmlformats.org/officeDocument/2006/relationships/hyperlink" Target="https://www.novatek.ru/common/upload/%D0%9F%D0%BE%D0%BB%D0%BE%D0%B6%D0%B5%D0%BD%D0%B8%D0%B5%20%D0%BE%20%D0%9A%D0%BE%D0%BC%D0%B8%D1%82%D0%B5%D1%82%D0%B5%20%D0%BF%D0%BE%20%D0%B2%D0%BE%D0%B7%D0%BD%20%D0%B8%20%D0%BD%D0%BE%D0%BC%D0%B8%D0%BD%D0%B0%D1%86%D0%B8%D1%8F%D0%BC(en)_23_08_2019(1).pdf" TargetMode="External"/><Relationship Id="rId35" Type="http://schemas.openxmlformats.org/officeDocument/2006/relationships/hyperlink" Target="https://www.novatek.ru/common/upload/doc/Politika_v_oblasti_vnutrennego_audita_PAO_Novatek_Red._2_ENG.pdf" TargetMode="External"/><Relationship Id="rId43" Type="http://schemas.openxmlformats.org/officeDocument/2006/relationships/hyperlink" Target="https://www.novatek.ru/common/upload/doc/Regulation_revision_comm.pdf" TargetMode="External"/><Relationship Id="rId48" Type="http://schemas.openxmlformats.org/officeDocument/2006/relationships/hyperlink" Target="https://arcticspg.ru/ustoychivoe-razvitie/raskrytie-informatsii/GHG%20and%20EE%20Management%20Plan.pdf" TargetMode="External"/><Relationship Id="rId56" Type="http://schemas.openxmlformats.org/officeDocument/2006/relationships/hyperlink" Target="https://arcticspg.ru/ustoychivoe-razvitie/raskrytie-informatsii/" TargetMode="External"/><Relationship Id="rId64" Type="http://schemas.openxmlformats.org/officeDocument/2006/relationships/hyperlink" Target="https://www.novatek.ru/ru/development/targets/" TargetMode="External"/><Relationship Id="rId69" Type="http://schemas.openxmlformats.org/officeDocument/2006/relationships/hyperlink" Target="https://www.novatek.ru/common/upload/doc/Perechen_insayd_inform.pdf" TargetMode="External"/><Relationship Id="rId77" Type="http://schemas.openxmlformats.org/officeDocument/2006/relationships/hyperlink" Target="https://www.novatek.ru/en/esg/ratings/archive/" TargetMode="External"/><Relationship Id="rId8" Type="http://schemas.openxmlformats.org/officeDocument/2006/relationships/hyperlink" Target="https://www.novatek.ru/common/upload/doc/Kodeks_povedeniya_Postavshchika_Gruppy_kompanii_PAO_NOVATEK.pdf" TargetMode="External"/><Relationship Id="rId51" Type="http://schemas.openxmlformats.org/officeDocument/2006/relationships/hyperlink" Target="http://yamallng.ru/Annex%202.%20ENG%20PDF%20Environmental%20and%20Social%20Standards%20Final%20Issue%2011%20Clean.pdf" TargetMode="External"/><Relationship Id="rId72" Type="http://schemas.openxmlformats.org/officeDocument/2006/relationships/hyperlink" Target="https://www.novatek.ru/common/upload/doc/Politika_OT_PPB_i_OOS_rus.pdf" TargetMode="External"/><Relationship Id="rId80" Type="http://schemas.openxmlformats.org/officeDocument/2006/relationships/hyperlink" Target="https://www.novatek.ru/ru/investors/reviews/" TargetMode="External"/><Relationship Id="rId3" Type="http://schemas.openxmlformats.org/officeDocument/2006/relationships/hyperlink" Target="https://www.novatek.ru/ru/development/archive/" TargetMode="External"/><Relationship Id="rId12" Type="http://schemas.openxmlformats.org/officeDocument/2006/relationships/hyperlink" Target="https://www.novatek.ru/common/upload/%D0%A3%D1%81%D1%82%D0%B0%D0%B2%20%20%D0%9D%D0%9E%D0%92%D0%90%D0%A2%D0%AD%D0%9A%20%D0%BE%D1%82%2010_06_05%20%D1%81%20%D0%B8%D0%B7%D0%BC%20%D0%B8%20%D0%B4%D0%BE%D0%BF%202005-2019_CLEAN.pdf" TargetMode="External"/><Relationship Id="rId17" Type="http://schemas.openxmlformats.org/officeDocument/2006/relationships/hyperlink" Target="https://www.novatek.ru/common/upload/%D0%9F%D0%BE%D0%BB%D0%BE%D0%B6%D0%B5%D0%BD%D0%B8%D0%B5%20%D0%BE%20%D0%9F%D1%80%D0%B0%D0%B2%D0%BB%D0%B5%D0%BD%D0%B8%D0%B5%20%D1%81%20%D0%B8%D0%B7%D0%BC%202016_CLEAN(en).pdf" TargetMode="External"/><Relationship Id="rId25" Type="http://schemas.openxmlformats.org/officeDocument/2006/relationships/hyperlink" Target="https://www.novatek.ru/common/upload/doc/Polozhenie_o_KorpSekr.pdf" TargetMode="External"/><Relationship Id="rId33" Type="http://schemas.openxmlformats.org/officeDocument/2006/relationships/hyperlink" Target="https://www.novatek.ru/common/upload/7_1_Regulations%20on%20inform%20policy.pdf" TargetMode="External"/><Relationship Id="rId38" Type="http://schemas.openxmlformats.org/officeDocument/2006/relationships/hyperlink" Target="https://www.novatek.ru/ru/development/targets/" TargetMode="External"/><Relationship Id="rId46" Type="http://schemas.openxmlformats.org/officeDocument/2006/relationships/hyperlink" Target="https://arcticspg.ru/ustoychivoe-razvitie/raskrytie-informatsii/Biodiversity_Implementation_Strategy.pdf" TargetMode="External"/><Relationship Id="rId59" Type="http://schemas.openxmlformats.org/officeDocument/2006/relationships/hyperlink" Target="https://www.novatek.ru/common/upload/doc/Politika_OT_PPB_i_OOS_rus.pdf" TargetMode="External"/><Relationship Id="rId67" Type="http://schemas.openxmlformats.org/officeDocument/2006/relationships/hyperlink" Target="https://www.novatek.ru/ru/development/iso/" TargetMode="External"/><Relationship Id="rId20" Type="http://schemas.openxmlformats.org/officeDocument/2006/relationships/hyperlink" Target="https://www.novatek.ru/common/upload/%D0%9F%D0%BE%D0%BB%D0%BE%D0%B6%D0%B5%D0%BD%D0%B8%D0%B5%20%D0%BE%20%D0%9A%D0%BE%D0%BC%D0%B8%D1%82%D0%B5%D1%82%D0%B5%20%D0%BF%D0%BE%20%D0%B2%D0%BE%D0%B7%D0%BD%20%D0%B8%20%D0%BD%D0%BE%D0%BC%D0%B8%D0%BD%D0%B0%D1%86%D0%B8%D1%8F%D0%BC_23_08_2019.pdf" TargetMode="External"/><Relationship Id="rId41" Type="http://schemas.openxmlformats.org/officeDocument/2006/relationships/hyperlink" Target="https://www.novatek.ru/common/upload/doc/Politika_v_oblasti_Zakupok_ENG.pdf" TargetMode="External"/><Relationship Id="rId54" Type="http://schemas.openxmlformats.org/officeDocument/2006/relationships/hyperlink" Target="https://arcticspg.ru/ustoychivoe-razvitie/raskrytie-informatsii/SEP_ENG_21.pdf" TargetMode="External"/><Relationship Id="rId62" Type="http://schemas.openxmlformats.org/officeDocument/2006/relationships/hyperlink" Target="https://www.novatek.ru/common/upload/doc/Politika_energoeffektivnosti.pdf" TargetMode="External"/><Relationship Id="rId70" Type="http://schemas.openxmlformats.org/officeDocument/2006/relationships/hyperlink" Target="https://www.novatek.ru/common/upload/%D0%9F%D0%BE%D0%BB%D0%B8%D1%82%D0%B8%D0%BA%D0%B0%20%D0%B2%20%D0%BE%D1%82%D0%BD%D0%BE%D1%88%D0%B5%D0%BD%D0%B8%D0%B8%20%D0%BE%D0%B1%D1%80%D0%B0%D0%B1%D0%BE%D1%82%D0%BA%D0%B8%20%D0%BF%D0%B5%D1%80%D1%81%D0%BE%D0%BD%D0%B0%D0%BB%D1%8C%D0%BD%D1%8B%D1%85%20%D0%B4%D0%B0%D0%BD%D0%BD%D1%8B%D1%85%20(1597594%20v1).pdf" TargetMode="External"/><Relationship Id="rId75" Type="http://schemas.openxmlformats.org/officeDocument/2006/relationships/hyperlink" Target="https://www.novatek.ru/en/development/iso/" TargetMode="External"/><Relationship Id="rId83" Type="http://schemas.openxmlformats.org/officeDocument/2006/relationships/drawing" Target="../drawings/drawing10.xml"/><Relationship Id="rId1" Type="http://schemas.openxmlformats.org/officeDocument/2006/relationships/hyperlink" Target="https://www.novatek.ru/ru/investors/reviews/archive/" TargetMode="External"/><Relationship Id="rId6" Type="http://schemas.openxmlformats.org/officeDocument/2006/relationships/hyperlink" Target="https://www.novatek.ru/common/upload/doc/Antikorruptsionnaya_politika_PAO_NOVATEK_ENG.pdf" TargetMode="External"/><Relationship Id="rId15" Type="http://schemas.openxmlformats.org/officeDocument/2006/relationships/hyperlink" Target="https://www.novatek.ru/common/upload/%D0%9F%D0%BE%D0%BB%D0%BE%D0%B6%D0%B5%D0%BD%D0%B8%D0%B5%20%D0%BE%D0%B1%20%D0%9E%D0%A1%D0%90%20%D1%81%20%D0%B8%D0%B7%D0%BC%202016%20%D0%B3%20_CLEAN(en)%20(003).pdf" TargetMode="External"/><Relationship Id="rId23" Type="http://schemas.openxmlformats.org/officeDocument/2006/relationships/hyperlink" Target="https://www.novatek.ru/common/upload/doc/DivRus20.pdf" TargetMode="External"/><Relationship Id="rId28" Type="http://schemas.openxmlformats.org/officeDocument/2006/relationships/hyperlink" Target="https://www.novatek.ru/common/upload/doc/POLOZHENIE_o_voznagrazhdenii_SD.pdf" TargetMode="External"/><Relationship Id="rId36" Type="http://schemas.openxmlformats.org/officeDocument/2006/relationships/hyperlink" Target="https://www.novatek.ru/common/upload/doc/SUR_en.pdf" TargetMode="External"/><Relationship Id="rId49" Type="http://schemas.openxmlformats.org/officeDocument/2006/relationships/hyperlink" Target="http://yamallng.ru/upload/ESIA%20ENG%20.pdf" TargetMode="External"/><Relationship Id="rId57" Type="http://schemas.openxmlformats.org/officeDocument/2006/relationships/hyperlink" Target="http://yamallng.ru/upload/docs/Yamal%20LNG_SEP_June_2023_Ru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ovatek.ru/en/development/archiv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ovatek.ru/en/development/archiv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ovatek.ru/en/development/archiv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ovatek.ru/en/development/archiv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ovatek.ru/en/development/archiv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novatek.ru/en/development/archiv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novatek.ru/en/development/archiv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novatek.ru/en/development/archiv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sheetPr>
  <dimension ref="A2:AB20"/>
  <sheetViews>
    <sheetView tabSelected="1" zoomScale="84" zoomScaleNormal="40" workbookViewId="0">
      <selection activeCell="C5" sqref="C5"/>
    </sheetView>
  </sheetViews>
  <sheetFormatPr defaultColWidth="9.140625" defaultRowHeight="15"/>
  <cols>
    <col min="1" max="1" width="10.42578125" style="1" customWidth="1"/>
    <col min="2" max="2" width="7.140625" style="1" customWidth="1"/>
    <col min="3" max="3" width="174.85546875" style="1" customWidth="1"/>
    <col min="4" max="4" width="61.140625" style="1" customWidth="1"/>
    <col min="5" max="5" width="9.140625" style="1"/>
    <col min="6" max="6" width="12.85546875" style="1" customWidth="1"/>
    <col min="7" max="16384" width="9.140625" style="1"/>
  </cols>
  <sheetData>
    <row r="2" spans="1:28">
      <c r="A2" s="6">
        <v>1</v>
      </c>
      <c r="B2" s="6">
        <v>2</v>
      </c>
      <c r="C2" s="7" t="s">
        <v>6</v>
      </c>
    </row>
    <row r="3" spans="1:28">
      <c r="B3" s="6" t="s">
        <v>5</v>
      </c>
    </row>
    <row r="4" spans="1:28">
      <c r="B4" s="6" t="s">
        <v>4</v>
      </c>
    </row>
    <row r="5" spans="1:28" ht="181.5" customHeight="1">
      <c r="C5" s="8"/>
    </row>
    <row r="6" spans="1:28" ht="24.95" customHeight="1">
      <c r="C6" s="148" t="str">
        <f>IF(Contents!$B$2=2,"ESG DATABOOK","СПРАВОЧНИК ESG")</f>
        <v>ESG DATABOOK</v>
      </c>
      <c r="D6" s="148"/>
      <c r="E6" s="148"/>
      <c r="F6" s="148"/>
    </row>
    <row r="7" spans="1:28" ht="39.950000000000003" customHeight="1">
      <c r="C7" s="9"/>
      <c r="D7" s="9"/>
      <c r="E7" s="9"/>
      <c r="F7" s="9"/>
    </row>
    <row r="8" spans="1:28" ht="30" customHeight="1">
      <c r="B8" s="519">
        <v>1</v>
      </c>
      <c r="C8" s="527" t="str">
        <f>IF(Contents!$B$2=2,"Climate","Климат")</f>
        <v>Climate</v>
      </c>
      <c r="D8" s="9"/>
      <c r="E8" s="9"/>
      <c r="F8" s="9"/>
      <c r="G8" s="9"/>
    </row>
    <row r="9" spans="1:28" ht="30" customHeight="1">
      <c r="B9" s="520">
        <v>2</v>
      </c>
      <c r="C9" s="527" t="str">
        <f>IF(Contents!$B$2=2,"Environment","Экология")</f>
        <v>Environment</v>
      </c>
      <c r="D9" s="9"/>
      <c r="E9" s="9"/>
      <c r="F9" s="9"/>
    </row>
    <row r="10" spans="1:28" ht="30" customHeight="1">
      <c r="B10" s="521">
        <v>3</v>
      </c>
      <c r="C10" s="527" t="str">
        <f>IF(Contents!$B$2=2,"Personnel","Персонал")</f>
        <v>Personnel</v>
      </c>
      <c r="D10" s="9"/>
      <c r="E10" s="9"/>
      <c r="F10" s="9"/>
    </row>
    <row r="11" spans="1:28" ht="30" customHeight="1">
      <c r="B11" s="523">
        <v>4</v>
      </c>
      <c r="C11" s="527" t="str">
        <f>IF(Contents!$B$2=2,"Occupational health and safety (OHS)","Охрана труда и промышленная безопасность (ОТиПБ)")</f>
        <v>Occupational health and safety (OHS)</v>
      </c>
      <c r="D11" s="9"/>
      <c r="E11" s="9"/>
      <c r="F11" s="9"/>
    </row>
    <row r="12" spans="1:28" ht="30" customHeight="1">
      <c r="B12" s="522">
        <v>5</v>
      </c>
      <c r="C12" s="527" t="str">
        <f>IF(Contents!$B$2=2,"Local communities","Местные сообщества")</f>
        <v>Local communities</v>
      </c>
      <c r="D12" s="9"/>
      <c r="E12" s="9"/>
      <c r="F12" s="9"/>
    </row>
    <row r="13" spans="1:28" ht="30" customHeight="1">
      <c r="B13" s="524">
        <v>6</v>
      </c>
      <c r="C13" s="527" t="str">
        <f>IF(Contents!$B$2=2,"Corporate governance","Корпоративное управление")</f>
        <v>Corporate governance</v>
      </c>
      <c r="D13" s="9"/>
      <c r="E13" s="9"/>
      <c r="F13" s="9"/>
    </row>
    <row r="14" spans="1:28" ht="60" customHeight="1">
      <c r="B14" s="525">
        <v>7</v>
      </c>
      <c r="C14" s="527" t="str">
        <f>IF(Contents!$B$2=2,"Public Business Capital Standard","Стандарт общественного капитала бизнеса")</f>
        <v>Public Business Capital Standard</v>
      </c>
      <c r="D14" s="9"/>
      <c r="E14" s="9"/>
      <c r="F14" s="9"/>
    </row>
    <row r="15" spans="1:28" ht="52.35" customHeight="1">
      <c r="B15" s="526">
        <v>8</v>
      </c>
      <c r="C15" s="527" t="str">
        <f>IF(Contents!$B$2=2, AA15, AB15)</f>
        <v>List of indicators of the XBRL Taxonomy of the Bank of Russia (version 7.5.1.0) (for issuers)</v>
      </c>
      <c r="D15" s="9"/>
      <c r="E15" s="9"/>
      <c r="F15" s="9"/>
      <c r="AA15" s="6" t="s">
        <v>223</v>
      </c>
      <c r="AB15" s="6" t="s">
        <v>222</v>
      </c>
    </row>
    <row r="16" spans="1:28" ht="30" customHeight="1">
      <c r="B16" s="645">
        <v>9</v>
      </c>
      <c r="C16" s="527" t="str">
        <f>IF(Contents!$B$2=2,"Corporate documents","Корпоративные документы")</f>
        <v>Corporate documents</v>
      </c>
      <c r="D16" s="9"/>
      <c r="E16" s="9"/>
      <c r="F16" s="9"/>
    </row>
    <row r="17" spans="3:3" ht="22.5" customHeight="1">
      <c r="C17" s="4"/>
    </row>
    <row r="18" spans="3:3">
      <c r="C18" s="2" t="str">
        <f>IF(Contents!$B$2=2,"IR NOVATEK","УПРАВЛЕНИЕ ПО СВЯЗЯМ С ИНВЕСТОРАМИ")</f>
        <v>IR NOVATEK</v>
      </c>
    </row>
    <row r="19" spans="3:3">
      <c r="C19" s="3" t="s">
        <v>1</v>
      </c>
    </row>
    <row r="20" spans="3:3">
      <c r="C20" s="5" t="s">
        <v>2</v>
      </c>
    </row>
  </sheetData>
  <hyperlinks>
    <hyperlink ref="C20" r:id="rId1"/>
    <hyperlink ref="C8" location="Climate!A1" display="Climate!A1"/>
    <hyperlink ref="C9" location="Environment!A1" display="Environment!A1"/>
    <hyperlink ref="C10" location="Personnel!A1" display="Personnel!A1"/>
    <hyperlink ref="C11" location="'Occupational health and safety'!A1" display="'Occupational health and safety'!A1"/>
    <hyperlink ref="C12" location="'Local communities'!A1" display="'Local communities'!A1"/>
    <hyperlink ref="C13" location="'Corporate governance'!A1" display="'Corporate governance'!A1"/>
    <hyperlink ref="C14" location="MED!A1" display="MED!A1"/>
    <hyperlink ref="C15" location="'Таксономия Банка России'!A1" display="'Таксономия Банка России'!A1"/>
    <hyperlink ref="C16" location="'Corporate documents'!A1" display="'Corporate documents'!A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531" r:id="rId5" name="Drop Down 507">
              <controlPr defaultSize="0" autoLine="0" autoPict="0" macro="[0]!DropDown7_Change">
                <anchor moveWithCells="1">
                  <from>
                    <xdr:col>1</xdr:col>
                    <xdr:colOff>257175</xdr:colOff>
                    <xdr:row>1</xdr:row>
                    <xdr:rowOff>9525</xdr:rowOff>
                  </from>
                  <to>
                    <xdr:col>2</xdr:col>
                    <xdr:colOff>2085975</xdr:colOff>
                    <xdr:row>2</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B1:K58"/>
  <sheetViews>
    <sheetView zoomScale="80" zoomScaleNormal="80" workbookViewId="0">
      <pane xSplit="1" ySplit="2" topLeftCell="B3" activePane="bottomRight" state="frozen"/>
      <selection pane="topRight" activeCell="B1" sqref="B1"/>
      <selection pane="bottomLeft" activeCell="A3" sqref="A3"/>
      <selection pane="bottomRight" activeCell="E6" sqref="E6"/>
    </sheetView>
  </sheetViews>
  <sheetFormatPr defaultColWidth="9.140625" defaultRowHeight="18.75"/>
  <cols>
    <col min="1" max="1" width="10.42578125" style="1" customWidth="1"/>
    <col min="2" max="2" width="100.42578125" style="130" customWidth="1"/>
    <col min="3" max="3" width="9.140625" style="1"/>
    <col min="4" max="5" width="15.42578125" style="118" customWidth="1"/>
    <col min="6" max="6" width="17.140625" style="1" customWidth="1"/>
    <col min="7" max="7" width="84.140625" style="1" customWidth="1"/>
    <col min="8" max="16384" width="9.140625" style="1"/>
  </cols>
  <sheetData>
    <row r="1" spans="2:11" ht="80.099999999999994" customHeight="1">
      <c r="B1" s="487" t="s">
        <v>168</v>
      </c>
    </row>
    <row r="2" spans="2:11" ht="30" customHeight="1">
      <c r="B2" s="143" t="str">
        <f>IF(Contents!$B$2=2,"Corporate documents","Корпоративные документы")</f>
        <v>Corporate documents</v>
      </c>
      <c r="C2" s="144"/>
      <c r="D2" s="145"/>
      <c r="E2" s="146"/>
      <c r="F2" s="119"/>
      <c r="G2" s="119"/>
      <c r="H2" s="119"/>
      <c r="I2" s="120"/>
      <c r="J2" s="121"/>
      <c r="K2" s="122"/>
    </row>
    <row r="3" spans="2:11" ht="18">
      <c r="B3" s="123"/>
      <c r="C3" s="123"/>
      <c r="D3" s="123"/>
      <c r="E3" s="123"/>
      <c r="G3" s="125"/>
    </row>
    <row r="4" spans="2:11" ht="12.75" customHeight="1">
      <c r="B4" s="124"/>
      <c r="G4" s="125"/>
    </row>
    <row r="5" spans="2:11" ht="30" customHeight="1">
      <c r="B5" s="136" t="str">
        <f>IF(Contents!$B$2=2,"Reporting","Отчетность")</f>
        <v>Reporting</v>
      </c>
      <c r="C5" s="137"/>
      <c r="D5" s="137"/>
      <c r="E5" s="137"/>
      <c r="G5" s="126"/>
    </row>
    <row r="6" spans="2:11" ht="18">
      <c r="B6" s="127" t="str">
        <f>IF(Contents!$B$2=2,"Sustainability Report 2025","Отчет об устойчивом развитии за 2025 год")</f>
        <v>Sustainability Report 2025</v>
      </c>
      <c r="D6" s="138" t="s">
        <v>12</v>
      </c>
      <c r="E6" s="138" t="s">
        <v>13</v>
      </c>
    </row>
    <row r="7" spans="2:11" ht="20.100000000000001" customHeight="1">
      <c r="B7" s="127" t="str">
        <f>IF(Contents!$B$2=2,"Annual Review 2025","Годовой обзор за 2025 год")</f>
        <v>Annual Review 2025</v>
      </c>
      <c r="D7" s="138" t="s">
        <v>12</v>
      </c>
      <c r="E7" s="138" t="s">
        <v>13</v>
      </c>
      <c r="G7" s="129"/>
    </row>
    <row r="8" spans="2:11" ht="20.100000000000001" customHeight="1">
      <c r="B8" s="127" t="str">
        <f>IF(Contents!$B$2=2,"Annual Reviews Archive","Архив Годовых обзоров")</f>
        <v>Annual Reviews Archive</v>
      </c>
      <c r="C8" s="127"/>
      <c r="D8" s="138" t="s">
        <v>12</v>
      </c>
      <c r="E8" s="138" t="s">
        <v>13</v>
      </c>
      <c r="G8" s="125"/>
    </row>
    <row r="9" spans="2:11" ht="20.100000000000001" customHeight="1">
      <c r="B9" s="127" t="str">
        <f>IF(Contents!$B$2=2,"Sustainability Reports Archive","Архив Отчетов об устойчивом развитии")</f>
        <v>Sustainability Reports Archive</v>
      </c>
      <c r="C9" s="127"/>
      <c r="D9" s="138" t="s">
        <v>12</v>
      </c>
      <c r="E9" s="138" t="s">
        <v>13</v>
      </c>
    </row>
    <row r="10" spans="2:11" ht="19.5" customHeight="1"/>
    <row r="11" spans="2:11" ht="30" customHeight="1">
      <c r="B11" s="496" t="str">
        <f>IF(Contents!$B$2=2,"Climate","Климат")</f>
        <v>Climate</v>
      </c>
      <c r="C11" s="497"/>
      <c r="D11" s="497"/>
      <c r="E11" s="497"/>
    </row>
    <row r="12" spans="2:11" ht="20.100000000000001" customHeight="1">
      <c r="B12" s="127" t="str">
        <f>IF(Contents!$B$2=2,"Energy efficiency and energy saving policy","Политика в области энергоэффективности и энергосбережения")</f>
        <v>Energy efficiency and energy saving policy</v>
      </c>
      <c r="C12" s="127"/>
      <c r="D12" s="138" t="s">
        <v>12</v>
      </c>
      <c r="E12" s="138" t="s">
        <v>13</v>
      </c>
    </row>
    <row r="13" spans="2:11" ht="20.100000000000001" customHeight="1">
      <c r="B13" s="127" t="str">
        <f>IF(Contents!$B$2=2,"NOVATEK's Environmental and Climate Change Targets","Цели «НОВАТЭКа» в области охраны окружающей среды и изменения климата")</f>
        <v>NOVATEK's Environmental and Climate Change Targets</v>
      </c>
      <c r="C13" s="127"/>
      <c r="D13" s="138" t="s">
        <v>12</v>
      </c>
      <c r="E13" s="138" t="s">
        <v>13</v>
      </c>
    </row>
    <row r="14" spans="2:11" ht="20.100000000000001" customHeight="1">
      <c r="B14" s="127" t="str">
        <f>IF(Contents!$B$2=2,"Greenhouse gases and energy efficiency philosophy (Arctic LNG 2)","Концепция управления выбросами парниковых газов и энергоэффективностью (Арктик СПГ 2)")</f>
        <v>Greenhouse gases and energy efficiency philosophy (Arctic LNG 2)</v>
      </c>
      <c r="C14" s="127"/>
      <c r="D14" s="138"/>
      <c r="E14" s="138" t="s">
        <v>13</v>
      </c>
    </row>
    <row r="15" spans="2:11" ht="20.100000000000001" customHeight="1">
      <c r="B15" s="127" t="str">
        <f>IF(Contents!$B$2=2,"Greenhouse gases and energy efficiency Management Plan (Arctic LNG 2)","План управления выбросами парниковых газов и энергоэффективностью (Арктик СПГ 2)")</f>
        <v>Greenhouse gases and energy efficiency Management Plan (Arctic LNG 2)</v>
      </c>
      <c r="C15" s="127"/>
      <c r="D15" s="138"/>
      <c r="E15" s="138" t="s">
        <v>13</v>
      </c>
    </row>
    <row r="16" spans="2:11" ht="18">
      <c r="B16" s="127"/>
      <c r="D16" s="128"/>
      <c r="E16" s="128"/>
    </row>
    <row r="17" spans="2:5" ht="30" customHeight="1">
      <c r="B17" s="498" t="str">
        <f>IF(Contents!$B$2=2,"Environment","Экология")</f>
        <v>Environment</v>
      </c>
      <c r="C17" s="499"/>
      <c r="D17" s="499"/>
      <c r="E17" s="499"/>
    </row>
    <row r="18" spans="2:5" ht="18">
      <c r="B18" s="127" t="str">
        <f>IF(Contents!$B$2=2,"Occupational Health, Industrial &amp; Fire Safety and Environmental Protection Policy","Политика в области охраны окружающей среды, промышленной безопасности и охраны труда")</f>
        <v>Occupational Health, Industrial &amp; Fire Safety and Environmental Protection Policy</v>
      </c>
      <c r="C18" s="127"/>
      <c r="D18" s="138" t="s">
        <v>12</v>
      </c>
      <c r="E18" s="138" t="s">
        <v>13</v>
      </c>
    </row>
    <row r="19" spans="2:5" ht="18">
      <c r="B19" s="127" t="str">
        <f>IF(Contents!$B$2=2,"Integrated Management System for Environmental Protection","Интегрированная система управления вопросами охраны окружающей среды")</f>
        <v>Integrated Management System for Environmental Protection</v>
      </c>
      <c r="C19" s="127"/>
      <c r="D19" s="138" t="s">
        <v>12</v>
      </c>
      <c r="E19" s="138" t="s">
        <v>13</v>
      </c>
    </row>
    <row r="20" spans="2:5" ht="18">
      <c r="B20" s="127" t="str">
        <f>IF(Contents!$B$2=2,"NOVATEK's Environmental and Climate Change Targets","Цели «НОВАТЭКа» в области охраны окружающей среды и изменения климата")</f>
        <v>NOVATEK's Environmental and Climate Change Targets</v>
      </c>
      <c r="C20" s="127"/>
      <c r="D20" s="138" t="s">
        <v>12</v>
      </c>
      <c r="E20" s="138" t="s">
        <v>13</v>
      </c>
    </row>
    <row r="21" spans="2:5" ht="18">
      <c r="B21" s="127" t="str">
        <f>IF(Contents!$B$2=2,"Biodiversity Implementation Strategy (Arctic LNG 2)","Стратегия сохранения биоразнообразия (Арктик СПГ 2)")</f>
        <v>Biodiversity Implementation Strategy (Arctic LNG 2)</v>
      </c>
      <c r="C21" s="127"/>
      <c r="D21" s="138"/>
      <c r="E21" s="138" t="s">
        <v>13</v>
      </c>
    </row>
    <row r="22" spans="2:5" ht="18">
      <c r="B22" s="127" t="str">
        <f>IF(Contents!$B$2=2,"Environmental, Social and Health Impact Assessment (Arctic LNG 2)","Оценка воздействия на окружающую среду, социальную сферу и здоровье (Арктик СПГ 2)")</f>
        <v>Environmental, Social and Health Impact Assessment (Arctic LNG 2)</v>
      </c>
      <c r="C22" s="127"/>
      <c r="D22" s="138" t="s">
        <v>12</v>
      </c>
      <c r="E22" s="138" t="s">
        <v>13</v>
      </c>
    </row>
    <row r="23" spans="2:5" ht="18">
      <c r="B23" s="127" t="str">
        <f>IF(Contents!$B$2=2,"Environmental and Social Impact Assessment (Yamal LNG)","Оценка воздействия на окружающую среду и социальную сферу (Ямал СПГ)")</f>
        <v>Environmental and Social Impact Assessment (Yamal LNG)</v>
      </c>
      <c r="C23" s="127"/>
      <c r="D23" s="138" t="s">
        <v>12</v>
      </c>
      <c r="E23" s="138" t="s">
        <v>13</v>
      </c>
    </row>
    <row r="24" spans="2:5" ht="18">
      <c r="B24" s="127" t="str">
        <f>IF(Contents!$B$2=2,"Environmental and social scoping report  (Yamal LNG)","Отчет об экологическом и социальном анализе (Ямал СПГ)")</f>
        <v>Environmental and social scoping report  (Yamal LNG)</v>
      </c>
      <c r="C24" s="127"/>
      <c r="D24" s="138"/>
      <c r="E24" s="138" t="s">
        <v>13</v>
      </c>
    </row>
    <row r="25" spans="2:5" ht="18">
      <c r="B25" s="127" t="str">
        <f>IF(Contents!$B$2=2,"Project Environmental and Social Standards  (Yamal LNG)","Экологические и социальные стандарты проекта (Ямал СПГ)")</f>
        <v>Project Environmental and Social Standards  (Yamal LNG)</v>
      </c>
      <c r="C25" s="127"/>
      <c r="D25" s="138" t="s">
        <v>12</v>
      </c>
      <c r="E25" s="138" t="s">
        <v>13</v>
      </c>
    </row>
    <row r="26" spans="2:5" ht="20.100000000000001" customHeight="1">
      <c r="B26" s="135"/>
    </row>
    <row r="27" spans="2:5" s="131" customFormat="1" ht="30" customHeight="1">
      <c r="B27" s="132" t="str">
        <f>IF(Contents!$B$2=2,"Occupational health and safety (OHS)","Охрана труда и промышленная безопасность (ОТиПБ)")</f>
        <v>Occupational health and safety (OHS)</v>
      </c>
      <c r="C27" s="133"/>
      <c r="D27" s="133"/>
      <c r="E27" s="133"/>
    </row>
    <row r="28" spans="2:5" s="131" customFormat="1" ht="23.25">
      <c r="B28" s="127" t="str">
        <f>IF(Contents!$B$2=2,"Environmental, Industrial Safety and Occupational Health Policy","Политика в области охраны окружающей среды, промышленной безопасности и охраны труда")</f>
        <v>Environmental, Industrial Safety and Occupational Health Policy</v>
      </c>
      <c r="C28" s="127"/>
      <c r="D28" s="138" t="s">
        <v>12</v>
      </c>
      <c r="E28" s="138" t="s">
        <v>13</v>
      </c>
    </row>
    <row r="29" spans="2:5" s="131" customFormat="1" ht="23.25">
      <c r="B29" s="127" t="str">
        <f>IF(Contents!$B$2=2,"Integrated Occupational Health and Safety Management System","Интегрированная система управления охраной труда и промышленной безопасностью")</f>
        <v>Integrated Occupational Health and Safety Management System</v>
      </c>
      <c r="C29" s="127"/>
      <c r="D29" s="138" t="s">
        <v>12</v>
      </c>
      <c r="E29" s="138" t="s">
        <v>13</v>
      </c>
    </row>
    <row r="30" spans="2:5" ht="20.100000000000001" customHeight="1">
      <c r="B30" s="135"/>
    </row>
    <row r="31" spans="2:5" s="131" customFormat="1" ht="30" customHeight="1">
      <c r="B31" s="500" t="str">
        <f>IF(Contents!$B$2=2,"Local communities","Местные сообщества")</f>
        <v>Local communities</v>
      </c>
      <c r="C31" s="501"/>
      <c r="D31" s="501"/>
      <c r="E31" s="501"/>
    </row>
    <row r="32" spans="2:5" s="131" customFormat="1" ht="23.25">
      <c r="B32" s="127" t="str">
        <f>IF(Contents!$B$2=2,"Stakeholder Engagement Plan (Arctic LNG 2)","План взаимодействия с заинтересованными сторонами (Арктик СПГ 2)")</f>
        <v>Stakeholder Engagement Plan (Arctic LNG 2)</v>
      </c>
      <c r="C32" s="127"/>
      <c r="D32" s="138" t="s">
        <v>12</v>
      </c>
      <c r="E32" s="138" t="s">
        <v>13</v>
      </c>
    </row>
    <row r="33" spans="2:6" s="131" customFormat="1" ht="23.25">
      <c r="B33" s="127" t="str">
        <f>IF(Contents!$B$2=2,"Area of Influence (Arctic LNG 2)","Область воздействия (Арктик СПГ 2)")</f>
        <v>Area of Influence (Arctic LNG 2)</v>
      </c>
      <c r="C33" s="127"/>
      <c r="D33" s="138"/>
      <c r="E33" s="138" t="s">
        <v>13</v>
      </c>
    </row>
    <row r="34" spans="2:6" s="131" customFormat="1" ht="23.25">
      <c r="B34" s="127" t="str">
        <f>IF(Contents!$B$2=2,"Stakeholder Engagement Plan (Yamal LNG)","План взаимодействия с заинтересованными сторонами (Ямал СПГ)")</f>
        <v>Stakeholder Engagement Plan (Yamal LNG)</v>
      </c>
      <c r="C34" s="127"/>
      <c r="D34" s="138" t="s">
        <v>12</v>
      </c>
      <c r="E34" s="138" t="s">
        <v>13</v>
      </c>
    </row>
    <row r="35" spans="2:6" s="131" customFormat="1" ht="23.25">
      <c r="B35" s="127"/>
      <c r="C35" s="1"/>
      <c r="D35" s="128"/>
      <c r="E35" s="128"/>
    </row>
    <row r="36" spans="2:6" ht="30" customHeight="1">
      <c r="B36" s="502" t="str">
        <f>IF(Contents!$B$2=2,"Corporate governance","Корпоративное управление")</f>
        <v>Corporate governance</v>
      </c>
      <c r="C36" s="503"/>
      <c r="D36" s="503"/>
      <c r="E36" s="503"/>
    </row>
    <row r="37" spans="2:6" ht="18">
      <c r="B37" s="127" t="str">
        <f>IF(Contents!$B$2=2,"Articles of Association","Устав")</f>
        <v>Articles of Association</v>
      </c>
      <c r="C37" s="127"/>
      <c r="D37" s="138" t="s">
        <v>12</v>
      </c>
      <c r="E37" s="138" t="s">
        <v>13</v>
      </c>
    </row>
    <row r="38" spans="2:6" ht="18">
      <c r="B38" s="127" t="str">
        <f>IF(Contents!$B$2=2,"Code of Business Conduct and Ethics","Кодекс деловой этики")</f>
        <v>Code of Business Conduct and Ethics</v>
      </c>
      <c r="C38" s="127"/>
      <c r="D38" s="138" t="s">
        <v>12</v>
      </c>
      <c r="E38" s="138" t="s">
        <v>13</v>
      </c>
      <c r="F38" s="128"/>
    </row>
    <row r="39" spans="2:6" ht="18">
      <c r="B39" s="127" t="str">
        <f>IF(Contents!$B$2=2,"Supplier Code of Conduct","Кодекс поведения поставщика")</f>
        <v>Supplier Code of Conduct</v>
      </c>
      <c r="C39" s="127"/>
      <c r="D39" s="138" t="s">
        <v>12</v>
      </c>
      <c r="E39" s="138" t="s">
        <v>13</v>
      </c>
    </row>
    <row r="40" spans="2:6" ht="18">
      <c r="B40" s="127" t="str">
        <f>IF(Contents!$B$2=2,"Purchasing Policy","Политика в области закупок")</f>
        <v>Purchasing Policy</v>
      </c>
      <c r="C40" s="127"/>
      <c r="D40" s="138" t="s">
        <v>12</v>
      </c>
      <c r="E40" s="138" t="s">
        <v>13</v>
      </c>
    </row>
    <row r="41" spans="2:6" ht="20.100000000000001" customHeight="1">
      <c r="B41" s="127" t="str">
        <f>IF(Contents!$B$2=2,"Anti-Corruption Policy","Антикоррупционная политика")</f>
        <v>Anti-Corruption Policy</v>
      </c>
      <c r="C41" s="127"/>
      <c r="D41" s="138" t="s">
        <v>12</v>
      </c>
      <c r="E41" s="138" t="s">
        <v>13</v>
      </c>
    </row>
    <row r="42" spans="2:6" ht="20.100000000000001" customHeight="1">
      <c r="B42" s="127" t="str">
        <f>IF(Contents!$B$2=2,"Human Rights Policy","Политика по правам человека")</f>
        <v>Human Rights Policy</v>
      </c>
      <c r="C42" s="127"/>
      <c r="D42" s="138" t="s">
        <v>12</v>
      </c>
      <c r="E42" s="138" t="s">
        <v>13</v>
      </c>
    </row>
    <row r="43" spans="2:6" ht="20.100000000000001" customHeight="1">
      <c r="B43" s="127" t="str">
        <f>IF(Contents!$B$2=2,"Regulations on Dividend Policy","Положение о дивидендной политике")</f>
        <v>Regulations on Dividend Policy</v>
      </c>
      <c r="C43" s="127"/>
      <c r="D43" s="138" t="s">
        <v>12</v>
      </c>
      <c r="E43" s="138" t="s">
        <v>13</v>
      </c>
    </row>
    <row r="44" spans="2:6" ht="20.100000000000001" customHeight="1">
      <c r="B44" s="127" t="str">
        <f>IF(Contents!$B$2=2,"Regulations on the General Meeting of Shareholders","Положение об общем собрании акционеров")</f>
        <v>Regulations on the General Meeting of Shareholders</v>
      </c>
      <c r="C44" s="127"/>
      <c r="D44" s="138" t="s">
        <v>12</v>
      </c>
      <c r="E44" s="138" t="s">
        <v>13</v>
      </c>
    </row>
    <row r="45" spans="2:6" ht="20.100000000000001" customHeight="1">
      <c r="B45" s="127" t="str">
        <f>IF(Contents!$B$2=2,"Regulations on the Board of Directors","Положение о Совете директоров")</f>
        <v>Regulations on the Board of Directors</v>
      </c>
      <c r="C45" s="127"/>
      <c r="D45" s="138" t="s">
        <v>12</v>
      </c>
      <c r="E45" s="138" t="s">
        <v>13</v>
      </c>
    </row>
    <row r="46" spans="2:6" ht="20.100000000000001" customHeight="1">
      <c r="B46" s="127" t="str">
        <f>IF(Contents!$B$2=2,"Regulations on Remuneration and Compensations Payable to Members of the Board of Directors","Положение о вознаграждениях и компенсациях, выплачиваемых членам Совета директоров")</f>
        <v>Regulations on Remuneration and Compensations Payable to Members of the Board of Directors</v>
      </c>
      <c r="C46" s="127"/>
      <c r="D46" s="138" t="s">
        <v>12</v>
      </c>
      <c r="E46" s="138" t="s">
        <v>13</v>
      </c>
    </row>
    <row r="47" spans="2:6" ht="20.100000000000001" customHeight="1">
      <c r="B47" s="127" t="str">
        <f>IF(Contents!$B$2=2,"Regulations on the Audit Committee","Положение о Комитете по аудиту")</f>
        <v>Regulations on the Audit Committee</v>
      </c>
      <c r="C47" s="127"/>
      <c r="D47" s="138" t="s">
        <v>12</v>
      </c>
      <c r="E47" s="138" t="s">
        <v>13</v>
      </c>
    </row>
    <row r="48" spans="2:6" ht="20.100000000000001" customHeight="1">
      <c r="B48" s="127" t="str">
        <f>IF(Contents!$B$2=2,"Regulation on the Strategy Committee","Положение о Комитете по стратегии")</f>
        <v>Regulation on the Strategy Committee</v>
      </c>
      <c r="C48" s="127"/>
      <c r="D48" s="138" t="s">
        <v>12</v>
      </c>
      <c r="E48" s="138" t="s">
        <v>13</v>
      </c>
    </row>
    <row r="49" spans="2:5" ht="20.100000000000001" customHeight="1">
      <c r="B49" s="127" t="str">
        <f>IF(Contents!$B$2=2,"Regulations on the Remuneration and Nomination Committee","Положение о Комитете по вознаграждениям и номинациям")</f>
        <v>Regulations on the Remuneration and Nomination Committee</v>
      </c>
      <c r="C49" s="127"/>
      <c r="D49" s="138" t="s">
        <v>12</v>
      </c>
      <c r="E49" s="138" t="s">
        <v>13</v>
      </c>
    </row>
    <row r="50" spans="2:5" ht="20.100000000000001" customHeight="1">
      <c r="B50" s="127" t="str">
        <f>IF(Contents!$B$2=2,"Regulations on the Corporate Secretary","Положение о Корпоративном секретаре")</f>
        <v>Regulations on the Corporate Secretary</v>
      </c>
      <c r="C50" s="127"/>
      <c r="D50" s="138" t="s">
        <v>12</v>
      </c>
      <c r="E50" s="138" t="s">
        <v>13</v>
      </c>
    </row>
    <row r="51" spans="2:5" ht="20.100000000000001" customHeight="1">
      <c r="B51" s="127" t="str">
        <f>IF(Contents!$B$2=2,"Regulations on the Management Board","Положение о Правлении")</f>
        <v>Regulations on the Management Board</v>
      </c>
      <c r="C51" s="127"/>
      <c r="D51" s="138" t="s">
        <v>12</v>
      </c>
      <c r="E51" s="138" t="s">
        <v>13</v>
      </c>
    </row>
    <row r="52" spans="2:5" ht="20.100000000000001" customHeight="1">
      <c r="B52" s="127" t="str">
        <f>IF(Contents!$B$2=2,"Regulations on Risk Management and Internal Control System","Положение о системе управления рисками и внутреннего контроля")</f>
        <v>Regulations on Risk Management and Internal Control System</v>
      </c>
      <c r="C52" s="127"/>
      <c r="D52" s="138" t="s">
        <v>12</v>
      </c>
      <c r="E52" s="138" t="s">
        <v>13</v>
      </c>
    </row>
    <row r="53" spans="2:5" ht="20.100000000000001" customHeight="1">
      <c r="B53" s="127" t="str">
        <f>IF(Contents!$B$2=2,"Regulations for Revision Commission","Положение о ревизионной комиссии")</f>
        <v>Regulations for Revision Commission</v>
      </c>
      <c r="C53" s="127"/>
      <c r="D53" s="138" t="s">
        <v>12</v>
      </c>
      <c r="E53" s="138" t="s">
        <v>13</v>
      </c>
    </row>
    <row r="54" spans="2:5" ht="18">
      <c r="B54" s="127" t="str">
        <f>IF(Contents!$B$2=2,"Internal Audit Policy","Политика в области внутреннего аудита")</f>
        <v>Internal Audit Policy</v>
      </c>
      <c r="C54" s="127"/>
      <c r="D54" s="138" t="s">
        <v>12</v>
      </c>
      <c r="E54" s="138" t="s">
        <v>13</v>
      </c>
    </row>
    <row r="55" spans="2:5" ht="20.100000000000001" customHeight="1">
      <c r="B55" s="127" t="str">
        <f>IF(Contents!$B$2=2,"Regulations on Information Policy","Положение об информационной политике")</f>
        <v>Regulations on Information Policy</v>
      </c>
      <c r="C55" s="127"/>
      <c r="D55" s="138" t="s">
        <v>12</v>
      </c>
      <c r="E55" s="138" t="s">
        <v>13</v>
      </c>
    </row>
    <row r="56" spans="2:5" ht="18">
      <c r="B56" s="127" t="str">
        <f>IF(Contents!$B$2=2,"Policy on personal data processing", "Политика в отношении обработки персональных данных")</f>
        <v>Policy on personal data processing</v>
      </c>
      <c r="C56" s="127"/>
      <c r="D56" s="138" t="s">
        <v>12</v>
      </c>
      <c r="E56" s="138"/>
    </row>
    <row r="57" spans="2:5" ht="36">
      <c r="B57" s="134" t="str">
        <f>IF(Contents!$B$2=2,"Regulations on the procedure of access to insider information, protecting its confidentiality, disclosure and control over its unlawful use","Положение о порядке доступа к инсайдерской информации, охраны ее конфиденциальности, раскрытия и контроля за неправомерным использованием инсайдерской информации")</f>
        <v>Regulations on the procedure of access to insider information, protecting its confidentiality, disclosure and control over its unlawful use</v>
      </c>
      <c r="C57" s="127"/>
      <c r="D57" s="138" t="s">
        <v>12</v>
      </c>
      <c r="E57" s="138" t="s">
        <v>13</v>
      </c>
    </row>
    <row r="58" spans="2:5" ht="18">
      <c r="B58" s="127" t="str">
        <f>IF(Contents!$B$2=2,"List of insider information", "Перечень инсайдерской информации")</f>
        <v>List of insider information</v>
      </c>
      <c r="C58" s="127"/>
      <c r="D58" s="138" t="s">
        <v>12</v>
      </c>
      <c r="E58" s="138"/>
    </row>
  </sheetData>
  <hyperlinks>
    <hyperlink ref="D8" r:id="rId1"/>
    <hyperlink ref="E9" r:id="rId2"/>
    <hyperlink ref="D9" r:id="rId3"/>
    <hyperlink ref="D38" r:id="rId4"/>
    <hyperlink ref="E38" r:id="rId5"/>
    <hyperlink ref="E41" r:id="rId6"/>
    <hyperlink ref="D41" r:id="rId7"/>
    <hyperlink ref="D39" r:id="rId8"/>
    <hyperlink ref="E39" r:id="rId9"/>
    <hyperlink ref="E42" r:id="rId10"/>
    <hyperlink ref="D42" r:id="rId11"/>
    <hyperlink ref="D37" r:id="rId12"/>
    <hyperlink ref="E37" r:id="rId13"/>
    <hyperlink ref="D44" r:id="rId14"/>
    <hyperlink ref="E44" r:id="rId15"/>
    <hyperlink ref="E45" r:id="rId16"/>
    <hyperlink ref="E51" r:id="rId17"/>
    <hyperlink ref="D51" r:id="rId18"/>
    <hyperlink ref="D45" r:id="rId19"/>
    <hyperlink ref="D49" r:id="rId20"/>
    <hyperlink ref="D47" r:id="rId21"/>
    <hyperlink ref="D55" r:id="rId22"/>
    <hyperlink ref="D43" r:id="rId23"/>
    <hyperlink ref="D48" r:id="rId24"/>
    <hyperlink ref="D50" r:id="rId25"/>
    <hyperlink ref="D54" r:id="rId26"/>
    <hyperlink ref="D52" r:id="rId27"/>
    <hyperlink ref="D46" r:id="rId28"/>
    <hyperlink ref="E47" r:id="rId29"/>
    <hyperlink ref="E49" r:id="rId30"/>
    <hyperlink ref="E48" r:id="rId31"/>
    <hyperlink ref="E43" r:id="rId32"/>
    <hyperlink ref="E55" r:id="rId33"/>
    <hyperlink ref="E50" r:id="rId34"/>
    <hyperlink ref="E54" r:id="rId35"/>
    <hyperlink ref="E52" r:id="rId36"/>
    <hyperlink ref="E46" r:id="rId37"/>
    <hyperlink ref="D13" r:id="rId38"/>
    <hyperlink ref="E13" r:id="rId39"/>
    <hyperlink ref="D40" r:id="rId40"/>
    <hyperlink ref="E40" r:id="rId41"/>
    <hyperlink ref="D53" r:id="rId42"/>
    <hyperlink ref="E53" r:id="rId43" display="llink"/>
    <hyperlink ref="D57" r:id="rId44"/>
    <hyperlink ref="E57" r:id="rId45"/>
    <hyperlink ref="E21" r:id="rId46"/>
    <hyperlink ref="E14" r:id="rId47"/>
    <hyperlink ref="E15" r:id="rId48"/>
    <hyperlink ref="E23" r:id="rId49"/>
    <hyperlink ref="E24" r:id="rId50"/>
    <hyperlink ref="E25" r:id="rId51"/>
    <hyperlink ref="D25" r:id="rId52"/>
    <hyperlink ref="D23" r:id="rId53"/>
    <hyperlink ref="E32" r:id="rId54"/>
    <hyperlink ref="E33" r:id="rId55"/>
    <hyperlink ref="E22" r:id="rId56"/>
    <hyperlink ref="D34" r:id="rId57"/>
    <hyperlink ref="E34" r:id="rId58"/>
    <hyperlink ref="D18" r:id="rId59"/>
    <hyperlink ref="E18" r:id="rId60"/>
    <hyperlink ref="D32" r:id="rId61"/>
    <hyperlink ref="D12" r:id="rId62"/>
    <hyperlink ref="E12" r:id="rId63"/>
    <hyperlink ref="D20" r:id="rId64"/>
    <hyperlink ref="E20" r:id="rId65"/>
    <hyperlink ref="D22" r:id="rId66"/>
    <hyperlink ref="D19" r:id="rId67"/>
    <hyperlink ref="E19" r:id="rId68"/>
    <hyperlink ref="B58" r:id="rId69" tooltip="Скачать PDF" display="https://www.novatek.ru/common/upload/doc/Perechen_insayd_inform.pdf"/>
    <hyperlink ref="D56" r:id="rId70"/>
    <hyperlink ref="D58" r:id="rId71"/>
    <hyperlink ref="B1" location="Contents!A1" display="← Back to Contents"/>
    <hyperlink ref="D28" r:id="rId72"/>
    <hyperlink ref="E28" r:id="rId73"/>
    <hyperlink ref="D29" r:id="rId74"/>
    <hyperlink ref="E29" r:id="rId75"/>
    <hyperlink ref="E7" r:id="rId76"/>
    <hyperlink ref="E6" r:id="rId77"/>
    <hyperlink ref="E8" r:id="rId78"/>
    <hyperlink ref="D6" r:id="rId79"/>
    <hyperlink ref="D7" r:id="rId80"/>
    <hyperlink ref="D6:D7" r:id="rId81" display="ссылка"/>
  </hyperlinks>
  <pageMargins left="0.7" right="0.7" top="0.75" bottom="0.75" header="0.3" footer="0.3"/>
  <pageSetup paperSize="9" orientation="portrait" r:id="rId82"/>
  <drawing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P211"/>
  <sheetViews>
    <sheetView showGridLines="0" zoomScale="50" zoomScaleNormal="50" zoomScaleSheetLayoutView="50" workbookViewId="0">
      <pane xSplit="1" ySplit="8" topLeftCell="B9" activePane="bottomRight" state="frozen"/>
      <selection pane="topRight" activeCell="C1" sqref="C1"/>
      <selection pane="bottomLeft" activeCell="A9" sqref="A9"/>
      <selection pane="bottomRight" activeCell="G24" sqref="G24"/>
    </sheetView>
  </sheetViews>
  <sheetFormatPr defaultColWidth="9.140625" defaultRowHeight="18.75"/>
  <cols>
    <col min="1" max="1" width="17.28515625" style="851" customWidth="1"/>
    <col min="2" max="2" width="100.42578125" style="14" customWidth="1"/>
    <col min="3" max="3" width="20.42578125" style="15" customWidth="1"/>
    <col min="4" max="8" width="20.42578125" style="16" customWidth="1"/>
    <col min="9" max="9" width="20.42578125" style="150" customWidth="1"/>
    <col min="10" max="13" width="20.42578125" style="16" customWidth="1"/>
    <col min="14" max="14" width="19.85546875" style="16" customWidth="1"/>
    <col min="15" max="15" width="10.85546875" style="16" bestFit="1" customWidth="1"/>
    <col min="16" max="16" width="13.85546875" style="589" customWidth="1"/>
    <col min="17" max="17" width="17.42578125" style="16" customWidth="1"/>
    <col min="18" max="21" width="23" style="589" customWidth="1"/>
    <col min="22" max="22" width="8.140625" style="589" customWidth="1"/>
    <col min="23" max="23" width="15.42578125" style="589" customWidth="1"/>
    <col min="24" max="24" width="8.85546875" style="589" customWidth="1"/>
    <col min="25" max="25" width="8.42578125" style="589" customWidth="1"/>
    <col min="26" max="27" width="9.140625" style="785"/>
    <col min="28" max="16384" width="9.140625" style="14"/>
  </cols>
  <sheetData>
    <row r="1" spans="1:250" ht="104.45" customHeight="1">
      <c r="B1" s="487" t="s">
        <v>168</v>
      </c>
      <c r="G1" s="149"/>
    </row>
    <row r="2" spans="1:250">
      <c r="B2" s="18" t="str">
        <f>IF(Contents!$B$2=2,"CONTENTS","СОДЕРЖАНИЕ")</f>
        <v>CONTENTS</v>
      </c>
      <c r="C2" s="152"/>
      <c r="D2" s="153"/>
      <c r="E2" s="153"/>
      <c r="F2" s="153"/>
      <c r="G2" s="153"/>
      <c r="H2" s="153"/>
      <c r="I2" s="153"/>
      <c r="J2" s="153"/>
      <c r="K2" s="153"/>
      <c r="L2" s="153"/>
      <c r="M2" s="153"/>
      <c r="N2" s="153"/>
    </row>
    <row r="3" spans="1:250">
      <c r="B3" s="567" t="str">
        <f>IF(Contents!$B$2=2,"Climate","Климат")</f>
        <v>Climate</v>
      </c>
      <c r="C3" s="567" t="str">
        <f>IF(Contents!$B$2=2,"Production and reserves","Добыча и запасы")</f>
        <v>Production and reserves</v>
      </c>
      <c r="D3" s="566"/>
      <c r="E3" s="534"/>
      <c r="F3" s="534"/>
      <c r="H3" s="564"/>
      <c r="I3" s="564"/>
      <c r="J3" s="534"/>
      <c r="K3" s="564"/>
      <c r="L3" s="565"/>
      <c r="M3" s="565"/>
      <c r="N3" s="565"/>
    </row>
    <row r="4" spans="1:250" s="1" customFormat="1">
      <c r="A4" s="851"/>
      <c r="B4" s="582"/>
      <c r="C4" s="583"/>
      <c r="D4" s="573"/>
      <c r="E4" s="485"/>
      <c r="F4" s="485"/>
      <c r="G4" s="489"/>
      <c r="H4" s="485"/>
      <c r="I4" s="486"/>
      <c r="J4" s="485"/>
      <c r="K4" s="485"/>
      <c r="L4" s="16"/>
      <c r="M4" s="16"/>
      <c r="N4" s="16"/>
      <c r="O4" s="16"/>
      <c r="P4" s="589"/>
      <c r="Q4" s="16"/>
      <c r="R4" s="589"/>
      <c r="S4" s="589"/>
      <c r="T4" s="589"/>
      <c r="U4" s="589"/>
      <c r="V4" s="589"/>
      <c r="W4" s="589"/>
      <c r="X4" s="589"/>
      <c r="Y4" s="589"/>
      <c r="Z4" s="785"/>
      <c r="AA4" s="785"/>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row>
    <row r="5" spans="1:250" s="1" customFormat="1">
      <c r="A5" s="851"/>
      <c r="B5" s="487"/>
      <c r="C5" s="488"/>
      <c r="D5" s="485"/>
      <c r="E5" s="485"/>
      <c r="F5" s="485"/>
      <c r="G5" s="489"/>
      <c r="H5" s="485"/>
      <c r="I5" s="486"/>
      <c r="J5" s="485"/>
      <c r="K5" s="485"/>
      <c r="L5" s="16"/>
      <c r="M5" s="16"/>
      <c r="N5" s="16"/>
      <c r="O5" s="16"/>
      <c r="P5" s="589"/>
      <c r="Q5" s="16"/>
      <c r="R5" s="589"/>
      <c r="S5" s="589"/>
      <c r="T5" s="589"/>
      <c r="U5" s="589"/>
      <c r="V5" s="589"/>
      <c r="W5" s="589"/>
      <c r="X5" s="589"/>
      <c r="Y5" s="589"/>
      <c r="Z5" s="785"/>
      <c r="AA5" s="785"/>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row>
    <row r="6" spans="1:250" ht="36" customHeight="1">
      <c r="B6" s="154" t="str">
        <f>IF(Contents!$B$2=2,"Climate","Климат")</f>
        <v>Climate</v>
      </c>
      <c r="C6" s="155"/>
      <c r="D6" s="156"/>
      <c r="E6" s="157"/>
      <c r="F6" s="158"/>
      <c r="G6" s="158"/>
      <c r="H6" s="158"/>
      <c r="I6" s="159"/>
      <c r="J6" s="160"/>
      <c r="K6" s="160"/>
      <c r="L6" s="160"/>
      <c r="M6" s="160"/>
      <c r="N6" s="160"/>
      <c r="O6" s="35"/>
      <c r="P6" s="593"/>
      <c r="Q6" s="929"/>
      <c r="R6" s="593"/>
      <c r="S6" s="593"/>
      <c r="T6" s="593"/>
      <c r="U6" s="593"/>
      <c r="W6" s="593"/>
    </row>
    <row r="7" spans="1:250" ht="54.95" customHeight="1">
      <c r="B7" s="18"/>
      <c r="C7" s="19"/>
      <c r="D7" s="20">
        <v>2015</v>
      </c>
      <c r="E7" s="20">
        <v>2016</v>
      </c>
      <c r="F7" s="20">
        <v>2017</v>
      </c>
      <c r="G7" s="21">
        <v>2018</v>
      </c>
      <c r="H7" s="21">
        <v>2019</v>
      </c>
      <c r="I7" s="21">
        <v>2020</v>
      </c>
      <c r="J7" s="21">
        <v>2021</v>
      </c>
      <c r="K7" s="21">
        <v>2022</v>
      </c>
      <c r="L7" s="20">
        <v>2023</v>
      </c>
      <c r="M7" s="20">
        <v>2024</v>
      </c>
      <c r="N7" s="20">
        <v>2025</v>
      </c>
      <c r="O7" s="36"/>
      <c r="P7" s="586" t="str">
        <f>IF(Contents!$B$2=2,"Subject to external assurance in 2025","Внешний аудит в 2025 г.")</f>
        <v>Subject to external assurance in 2025</v>
      </c>
      <c r="Q7" s="930"/>
      <c r="R7" s="602" t="str">
        <f>IF(Contents!$B$2=2,"GRI Disclosure, including GRI 11: Oil and Gas Sector","Индексы Стандартов GRI, в т.ч. GRI 11: Oil and Gas Sector")</f>
        <v>GRI Disclosure, including GRI 11: Oil and Gas Sector</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586" t="str">
        <f>IF(Contents!$B$2=2,"Report scope","Границы отчетности")</f>
        <v>Report scope</v>
      </c>
      <c r="X7" s="504"/>
      <c r="Y7" s="504"/>
    </row>
    <row r="8" spans="1:250" ht="20.100000000000001" customHeight="1">
      <c r="B8" s="18" t="str">
        <f>IF(Contents!$B$2=2,"Climate","Климат")</f>
        <v>Climate</v>
      </c>
      <c r="C8" s="161"/>
      <c r="D8" s="161"/>
      <c r="E8" s="161"/>
      <c r="F8" s="161"/>
      <c r="G8" s="161"/>
      <c r="H8" s="161"/>
      <c r="I8" s="161"/>
      <c r="J8" s="161"/>
      <c r="K8" s="161"/>
      <c r="L8" s="161"/>
      <c r="M8" s="161"/>
      <c r="N8" s="161"/>
      <c r="O8" s="36"/>
      <c r="P8" s="594"/>
      <c r="Q8" s="36"/>
      <c r="R8" s="594"/>
      <c r="S8" s="594"/>
      <c r="T8" s="594"/>
      <c r="U8" s="594"/>
      <c r="V8" s="594"/>
      <c r="W8" s="594"/>
      <c r="X8" s="594"/>
      <c r="Y8" s="594"/>
    </row>
    <row r="9" spans="1:250" ht="39.75" customHeight="1">
      <c r="B9" s="162" t="str">
        <f>IF(Contents!$B$2=2,"Direct greenhouse gas emissions (Scope 1)","Прямые выбросы парниковых газов (Область охвата 1)")</f>
        <v>Direct greenhouse gas emissions (Scope 1)</v>
      </c>
      <c r="C9" s="42" t="str">
        <f>IF(Contents!$B$2=2,"tons of CO₂ eq.","т CO₂-экв.")</f>
        <v>tons of CO₂ eq.</v>
      </c>
      <c r="D9" s="239">
        <v>4400000</v>
      </c>
      <c r="E9" s="239">
        <v>6570000</v>
      </c>
      <c r="F9" s="239">
        <v>4360000</v>
      </c>
      <c r="G9" s="239">
        <v>6050000</v>
      </c>
      <c r="H9" s="239">
        <v>11114940</v>
      </c>
      <c r="I9" s="239">
        <v>9055750</v>
      </c>
      <c r="J9" s="239">
        <v>10047733</v>
      </c>
      <c r="K9" s="239">
        <v>9423227</v>
      </c>
      <c r="L9" s="239">
        <v>9482281</v>
      </c>
      <c r="M9" s="239">
        <v>9571891</v>
      </c>
      <c r="N9" s="239">
        <v>9626448.0513575245</v>
      </c>
      <c r="O9" s="869"/>
      <c r="P9" s="558" t="str">
        <f>IF(Contents!$B$2=2,"Yes","Да")</f>
        <v>Yes</v>
      </c>
      <c r="Q9" s="164"/>
      <c r="R9" s="465" t="s">
        <v>49</v>
      </c>
      <c r="S9" s="465" t="s">
        <v>50</v>
      </c>
      <c r="T9" s="465" t="s">
        <v>51</v>
      </c>
      <c r="U9" s="273" t="str">
        <f>IF(Contents!$B$2=2,"PBCS 8","СОКБ 8")</f>
        <v>PBCS 8</v>
      </c>
      <c r="W9" s="558">
        <v>2</v>
      </c>
      <c r="Y9" s="595"/>
    </row>
    <row r="10" spans="1:250" ht="25.5">
      <c r="B10" s="23" t="str">
        <f>IF(Contents!$B$2=2,"by GHG type","по виду парниковых газов")</f>
        <v>by GHG type</v>
      </c>
      <c r="C10" s="166"/>
      <c r="D10" s="537"/>
      <c r="E10" s="537"/>
      <c r="F10" s="537"/>
      <c r="G10" s="538"/>
      <c r="H10" s="539"/>
      <c r="I10" s="539"/>
      <c r="J10" s="539"/>
      <c r="K10" s="539"/>
      <c r="L10" s="539"/>
      <c r="M10" s="539"/>
      <c r="N10" s="539"/>
      <c r="O10" s="880"/>
      <c r="P10" s="558"/>
      <c r="Q10" s="164"/>
      <c r="R10" s="465" t="s">
        <v>49</v>
      </c>
      <c r="S10" s="465" t="s">
        <v>50</v>
      </c>
      <c r="T10" s="465" t="s">
        <v>51</v>
      </c>
      <c r="U10" s="590"/>
      <c r="W10" s="558"/>
      <c r="Y10" s="595"/>
    </row>
    <row r="11" spans="1:250" ht="33.75" customHeight="1">
      <c r="B11" s="167" t="str">
        <f>IF(Contents!$B$2=2,"Carbon dioxide (CO₂)","Диоксид углерода (CO2)")</f>
        <v>Carbon dioxide (CO₂)</v>
      </c>
      <c r="C11" s="12" t="str">
        <f>IF(Contents!$B$2=2,"tons of CO₂ eq.","т CO₂-экв.")</f>
        <v>tons of CO₂ eq.</v>
      </c>
      <c r="D11" s="168" t="s">
        <v>185</v>
      </c>
      <c r="E11" s="168" t="s">
        <v>185</v>
      </c>
      <c r="F11" s="168">
        <v>4179025</v>
      </c>
      <c r="G11" s="168">
        <v>5868375</v>
      </c>
      <c r="H11" s="168">
        <v>10964905</v>
      </c>
      <c r="I11" s="168">
        <v>8840345</v>
      </c>
      <c r="J11" s="184">
        <v>9843840</v>
      </c>
      <c r="K11" s="184">
        <v>9264653</v>
      </c>
      <c r="L11" s="184">
        <v>9328493</v>
      </c>
      <c r="M11" s="184">
        <v>9414581</v>
      </c>
      <c r="N11" s="98">
        <v>9462096</v>
      </c>
      <c r="O11" s="869"/>
      <c r="P11" s="558" t="str">
        <f>IF(Contents!$B$2=2,"Yes","Да")</f>
        <v>Yes</v>
      </c>
      <c r="Q11" s="164"/>
      <c r="R11" s="465"/>
      <c r="S11" s="465"/>
      <c r="T11" s="465"/>
      <c r="U11" s="590"/>
      <c r="W11" s="558">
        <v>2</v>
      </c>
      <c r="Y11" s="595"/>
    </row>
    <row r="12" spans="1:250" ht="33.75" customHeight="1">
      <c r="B12" s="167" t="str">
        <f>IF(Contents!$B$2=2,"Methane (CH4)","Метан (CH4)")</f>
        <v>Methane (CH4)</v>
      </c>
      <c r="C12" s="12" t="str">
        <f>IF(Contents!$B$2=2,"tons of CO₂ eq.","т CO₂-экв.")</f>
        <v>tons of CO₂ eq.</v>
      </c>
      <c r="D12" s="168" t="s">
        <v>185</v>
      </c>
      <c r="E12" s="168" t="s">
        <v>185</v>
      </c>
      <c r="F12" s="168">
        <v>180975</v>
      </c>
      <c r="G12" s="168">
        <v>181625</v>
      </c>
      <c r="H12" s="168">
        <v>150035</v>
      </c>
      <c r="I12" s="168">
        <v>215405</v>
      </c>
      <c r="J12" s="184">
        <v>203893</v>
      </c>
      <c r="K12" s="184">
        <v>158574</v>
      </c>
      <c r="L12" s="184">
        <v>153788</v>
      </c>
      <c r="M12" s="184">
        <v>157310</v>
      </c>
      <c r="N12" s="98">
        <v>164352.05135752499</v>
      </c>
      <c r="O12" s="869"/>
      <c r="P12" s="558" t="str">
        <f>IF(Contents!$B$2=2,"Yes","Да")</f>
        <v>Yes</v>
      </c>
      <c r="Q12" s="164"/>
      <c r="R12" s="465"/>
      <c r="S12" s="465"/>
      <c r="T12" s="465"/>
      <c r="U12" s="590"/>
      <c r="W12" s="558">
        <v>2</v>
      </c>
      <c r="Y12" s="595"/>
    </row>
    <row r="13" spans="1:250" ht="33.75" customHeight="1">
      <c r="B13" s="170" t="str">
        <f>IF(Contents!$B$2=2,"Share of methane emissions","Доля выбросов метана")</f>
        <v>Share of methane emissions</v>
      </c>
      <c r="C13" s="12" t="s">
        <v>0</v>
      </c>
      <c r="D13" s="168" t="s">
        <v>185</v>
      </c>
      <c r="E13" s="168" t="s">
        <v>185</v>
      </c>
      <c r="F13" s="657">
        <v>4.2</v>
      </c>
      <c r="G13" s="657">
        <v>3</v>
      </c>
      <c r="H13" s="657">
        <v>1.3</v>
      </c>
      <c r="I13" s="657">
        <v>2.4</v>
      </c>
      <c r="J13" s="657">
        <v>2</v>
      </c>
      <c r="K13" s="657">
        <v>1.7</v>
      </c>
      <c r="L13" s="657">
        <v>1.6</v>
      </c>
      <c r="M13" s="657">
        <v>1.6</v>
      </c>
      <c r="N13" s="846">
        <v>1.7</v>
      </c>
      <c r="O13" s="869"/>
      <c r="P13" s="558" t="str">
        <f>IF(Contents!$B$2=2,"Yes","Да")</f>
        <v>Yes</v>
      </c>
      <c r="Q13" s="164"/>
      <c r="R13" s="465"/>
      <c r="S13" s="465"/>
      <c r="T13" s="465"/>
      <c r="U13" s="590"/>
      <c r="W13" s="558">
        <v>2</v>
      </c>
      <c r="Y13" s="595"/>
    </row>
    <row r="14" spans="1:250">
      <c r="B14" s="23" t="str">
        <f>IF(Contents!$B$2=2,"by facilities","по сегментам")</f>
        <v>by facilities</v>
      </c>
      <c r="C14" s="166"/>
      <c r="D14" s="537"/>
      <c r="E14" s="537"/>
      <c r="F14" s="537"/>
      <c r="G14" s="538"/>
      <c r="H14" s="651"/>
      <c r="I14" s="651"/>
      <c r="J14" s="651"/>
      <c r="K14" s="651"/>
      <c r="L14" s="651"/>
      <c r="M14" s="651"/>
      <c r="N14" s="651"/>
      <c r="O14" s="781"/>
      <c r="P14" s="558"/>
      <c r="Q14" s="164"/>
      <c r="R14" s="465"/>
      <c r="S14" s="465"/>
      <c r="T14" s="465"/>
      <c r="U14" s="590"/>
      <c r="W14" s="558"/>
      <c r="Y14" s="595"/>
    </row>
    <row r="15" spans="1:250" ht="35.25" customHeight="1">
      <c r="B15" s="167" t="str">
        <f>IF(Contents!$B$2=2,"Production / Upstream facilities","Предприятия добычи")</f>
        <v>Production / Upstream facilities</v>
      </c>
      <c r="C15" s="12" t="str">
        <f>IF(Contents!$B$2=2,"tons of CO₂ eq.","т CO₂-экв.")</f>
        <v>tons of CO₂ eq.</v>
      </c>
      <c r="D15" s="168" t="s">
        <v>185</v>
      </c>
      <c r="E15" s="168" t="s">
        <v>185</v>
      </c>
      <c r="F15" s="168" t="s">
        <v>185</v>
      </c>
      <c r="G15" s="168" t="s">
        <v>185</v>
      </c>
      <c r="H15" s="671">
        <v>7494000</v>
      </c>
      <c r="I15" s="671">
        <v>5518000</v>
      </c>
      <c r="J15" s="184">
        <v>6241708</v>
      </c>
      <c r="K15" s="184">
        <v>5594684</v>
      </c>
      <c r="L15" s="184">
        <v>5587658</v>
      </c>
      <c r="M15" s="184">
        <v>5827513</v>
      </c>
      <c r="N15" s="98">
        <v>5841881</v>
      </c>
      <c r="O15" s="881"/>
      <c r="P15" s="558" t="str">
        <f>IF(Contents!$B$2=2,"Yes","Да")</f>
        <v>Yes</v>
      </c>
      <c r="Q15" s="164"/>
      <c r="R15" s="465"/>
      <c r="S15" s="465"/>
      <c r="T15" s="465"/>
      <c r="U15" s="590"/>
      <c r="W15" s="558">
        <v>2</v>
      </c>
    </row>
    <row r="16" spans="1:250" ht="35.25" customHeight="1">
      <c r="B16" s="167" t="str">
        <f>IF(Contents!$B$2=2,"Processing / Downstream facilities","Предприятия переработки")</f>
        <v>Processing / Downstream facilities</v>
      </c>
      <c r="C16" s="12" t="str">
        <f>IF(Contents!$B$2=2,"tons of CO₂ eq.","т CO₂-экв.")</f>
        <v>tons of CO₂ eq.</v>
      </c>
      <c r="D16" s="168" t="s">
        <v>185</v>
      </c>
      <c r="E16" s="168" t="s">
        <v>185</v>
      </c>
      <c r="F16" s="168" t="s">
        <v>185</v>
      </c>
      <c r="G16" s="168" t="s">
        <v>185</v>
      </c>
      <c r="H16" s="671">
        <v>594000</v>
      </c>
      <c r="I16" s="671">
        <v>589000</v>
      </c>
      <c r="J16" s="184">
        <v>664862.177010449</v>
      </c>
      <c r="K16" s="184">
        <v>708452</v>
      </c>
      <c r="L16" s="184">
        <v>762983</v>
      </c>
      <c r="M16" s="184">
        <v>596385</v>
      </c>
      <c r="N16" s="98">
        <v>722665</v>
      </c>
      <c r="O16" s="881"/>
      <c r="P16" s="558" t="str">
        <f>IF(Contents!$B$2=2,"Yes","Да")</f>
        <v>Yes</v>
      </c>
      <c r="Q16" s="164"/>
      <c r="R16" s="465"/>
      <c r="S16" s="465"/>
      <c r="T16" s="465"/>
      <c r="U16" s="590"/>
      <c r="W16" s="558">
        <v>2</v>
      </c>
    </row>
    <row r="17" spans="1:250" ht="35.25" customHeight="1">
      <c r="B17" s="167" t="str">
        <f>IF(Contents!$B$2=2,"LNG production facilities","Производство СПГ")</f>
        <v>LNG production facilities</v>
      </c>
      <c r="C17" s="12" t="str">
        <f>IF(Contents!$B$2=2,"tons of CO₂ eq.","т CO₂-экв.")</f>
        <v>tons of CO₂ eq.</v>
      </c>
      <c r="D17" s="168" t="s">
        <v>185</v>
      </c>
      <c r="E17" s="168" t="s">
        <v>185</v>
      </c>
      <c r="F17" s="168" t="s">
        <v>185</v>
      </c>
      <c r="G17" s="168" t="s">
        <v>185</v>
      </c>
      <c r="H17" s="671">
        <v>2905000</v>
      </c>
      <c r="I17" s="671">
        <v>2806000</v>
      </c>
      <c r="J17" s="184">
        <v>2976624.8783199699</v>
      </c>
      <c r="K17" s="184">
        <v>3001873</v>
      </c>
      <c r="L17" s="184">
        <v>3016856</v>
      </c>
      <c r="M17" s="184">
        <v>2992514</v>
      </c>
      <c r="N17" s="98">
        <v>2931670</v>
      </c>
      <c r="O17" s="881"/>
      <c r="P17" s="558" t="str">
        <f>IF(Contents!$B$2=2,"Yes","Да")</f>
        <v>Yes</v>
      </c>
      <c r="Q17" s="164"/>
      <c r="R17" s="465"/>
      <c r="S17" s="465"/>
      <c r="T17" s="465"/>
      <c r="U17" s="590"/>
      <c r="W17" s="558">
        <v>2</v>
      </c>
    </row>
    <row r="18" spans="1:250" ht="35.25" customHeight="1">
      <c r="B18" s="167" t="str">
        <f>IF(Contents!$B$2=2,"Energy service facilities","Предприятия энергосервиса")</f>
        <v>Energy service facilities</v>
      </c>
      <c r="C18" s="12" t="str">
        <f>IF(Contents!$B$2=2,"tons of CO₂ eq.","т CO₂-экв.")</f>
        <v>tons of CO₂ eq.</v>
      </c>
      <c r="D18" s="168" t="s">
        <v>185</v>
      </c>
      <c r="E18" s="168" t="s">
        <v>185</v>
      </c>
      <c r="F18" s="168" t="s">
        <v>185</v>
      </c>
      <c r="G18" s="168" t="s">
        <v>185</v>
      </c>
      <c r="H18" s="671">
        <v>122000</v>
      </c>
      <c r="I18" s="671">
        <v>143000</v>
      </c>
      <c r="J18" s="184">
        <v>164538</v>
      </c>
      <c r="K18" s="184">
        <v>118218</v>
      </c>
      <c r="L18" s="184">
        <v>114784</v>
      </c>
      <c r="M18" s="184">
        <v>155479</v>
      </c>
      <c r="N18" s="98">
        <v>130232</v>
      </c>
      <c r="O18" s="881"/>
      <c r="P18" s="558" t="str">
        <f>IF(Contents!$B$2=2,"Yes","Да")</f>
        <v>Yes</v>
      </c>
      <c r="Q18" s="164"/>
      <c r="R18" s="465"/>
      <c r="S18" s="465"/>
      <c r="T18" s="465"/>
      <c r="U18" s="590"/>
      <c r="W18" s="558">
        <v>2</v>
      </c>
    </row>
    <row r="19" spans="1:250">
      <c r="B19" s="23" t="str">
        <f>IF(Contents!$B$2=2,"by source","по источникам")</f>
        <v>by source</v>
      </c>
      <c r="C19" s="166"/>
      <c r="D19" s="537"/>
      <c r="E19" s="537"/>
      <c r="F19" s="537"/>
      <c r="G19" s="538"/>
      <c r="H19" s="539"/>
      <c r="I19" s="658"/>
      <c r="J19" s="651"/>
      <c r="K19" s="651"/>
      <c r="L19" s="651"/>
      <c r="M19" s="651"/>
      <c r="N19" s="651"/>
      <c r="O19" s="365"/>
      <c r="P19" s="595"/>
      <c r="Q19" s="164"/>
      <c r="R19" s="493" t="s">
        <v>53</v>
      </c>
      <c r="S19" s="465" t="s">
        <v>54</v>
      </c>
      <c r="T19" s="465" t="s">
        <v>55</v>
      </c>
      <c r="U19" s="590"/>
      <c r="W19" s="558"/>
    </row>
    <row r="20" spans="1:250" ht="35.25" customHeight="1">
      <c r="B20" s="171" t="str">
        <f>IF(Contents!$B$2=2,"Stationary combustion, including flaring","От стационарного сжигания, включая сжигание на факелах")</f>
        <v>Stationary combustion, including flaring</v>
      </c>
      <c r="C20" s="12" t="str">
        <f>IF(Contents!$B$2=2,"tons of CO₂ eq.","т CO₂-экв.")</f>
        <v>tons of CO₂ eq.</v>
      </c>
      <c r="D20" s="168" t="s">
        <v>185</v>
      </c>
      <c r="E20" s="168" t="s">
        <v>185</v>
      </c>
      <c r="F20" s="168" t="s">
        <v>185</v>
      </c>
      <c r="G20" s="168" t="s">
        <v>185</v>
      </c>
      <c r="H20" s="168" t="s">
        <v>185</v>
      </c>
      <c r="I20" s="671">
        <v>8852968</v>
      </c>
      <c r="J20" s="184">
        <v>9822746</v>
      </c>
      <c r="K20" s="184">
        <v>9193444</v>
      </c>
      <c r="L20" s="184">
        <v>9202342</v>
      </c>
      <c r="M20" s="184">
        <v>9306074</v>
      </c>
      <c r="N20" s="98">
        <v>9369322</v>
      </c>
      <c r="O20" s="881"/>
      <c r="P20" s="558" t="str">
        <f>IF(Contents!$B$2=2,"Yes","Да")</f>
        <v>Yes</v>
      </c>
      <c r="Q20" s="164"/>
      <c r="R20" s="465"/>
      <c r="S20" s="465"/>
      <c r="T20" s="465"/>
      <c r="U20" s="590"/>
      <c r="W20" s="558">
        <v>2</v>
      </c>
    </row>
    <row r="21" spans="1:250" ht="35.25" customHeight="1">
      <c r="B21" s="171" t="str">
        <f>IF(Contents!$B$2=2,"Fugitive emissions","Фугитивные выбросы")</f>
        <v>Fugitive emissions</v>
      </c>
      <c r="C21" s="12" t="str">
        <f>IF(Contents!$B$2=2,"tons of CO₂ eq.","т CO₂-экв.")</f>
        <v>tons of CO₂ eq.</v>
      </c>
      <c r="D21" s="168" t="s">
        <v>185</v>
      </c>
      <c r="E21" s="168" t="s">
        <v>185</v>
      </c>
      <c r="F21" s="168" t="s">
        <v>185</v>
      </c>
      <c r="G21" s="168" t="s">
        <v>185</v>
      </c>
      <c r="H21" s="168" t="s">
        <v>185</v>
      </c>
      <c r="I21" s="671">
        <v>167000</v>
      </c>
      <c r="J21" s="184">
        <v>196675</v>
      </c>
      <c r="K21" s="184">
        <v>192218</v>
      </c>
      <c r="L21" s="184">
        <v>234536</v>
      </c>
      <c r="M21" s="184">
        <v>228564</v>
      </c>
      <c r="N21" s="98">
        <v>214215</v>
      </c>
      <c r="O21" s="881"/>
      <c r="P21" s="558" t="str">
        <f>IF(Contents!$B$2=2,"Yes","Да")</f>
        <v>Yes</v>
      </c>
      <c r="Q21" s="164"/>
      <c r="R21" s="465"/>
      <c r="S21" s="465"/>
      <c r="T21" s="465"/>
      <c r="U21" s="590"/>
      <c r="W21" s="558">
        <v>2</v>
      </c>
    </row>
    <row r="22" spans="1:250" ht="35.25" customHeight="1">
      <c r="B22" s="171" t="str">
        <f>IF(Contents!$B$2=2,"Petrochemical production","Нефтехимическое производство")</f>
        <v>Petrochemical production</v>
      </c>
      <c r="C22" s="12" t="str">
        <f>IF(Contents!$B$2=2,"tons of CO₂ eq.","т CO₂-экв.")</f>
        <v>tons of CO₂ eq.</v>
      </c>
      <c r="D22" s="168" t="s">
        <v>185</v>
      </c>
      <c r="E22" s="168" t="s">
        <v>185</v>
      </c>
      <c r="F22" s="168" t="s">
        <v>185</v>
      </c>
      <c r="G22" s="168" t="s">
        <v>185</v>
      </c>
      <c r="H22" s="168" t="s">
        <v>185</v>
      </c>
      <c r="I22" s="671">
        <v>34000</v>
      </c>
      <c r="J22" s="184">
        <v>28312</v>
      </c>
      <c r="K22" s="184">
        <v>24773</v>
      </c>
      <c r="L22" s="184">
        <v>26741</v>
      </c>
      <c r="M22" s="184">
        <v>22407</v>
      </c>
      <c r="N22" s="98">
        <v>22195</v>
      </c>
      <c r="O22" s="881"/>
      <c r="P22" s="558" t="str">
        <f>IF(Contents!$B$2=2,"Yes","Да")</f>
        <v>Yes</v>
      </c>
      <c r="Q22" s="164"/>
      <c r="R22" s="465"/>
      <c r="S22" s="465"/>
      <c r="T22" s="465"/>
      <c r="U22" s="590"/>
      <c r="W22" s="558">
        <v>2</v>
      </c>
    </row>
    <row r="23" spans="1:250" ht="35.25" customHeight="1">
      <c r="B23" s="171" t="str">
        <f>IF(Contents!$B$2=2,"Transport","Транспорт")</f>
        <v>Transport</v>
      </c>
      <c r="C23" s="12" t="str">
        <f>IF(Contents!$B$2=2,"tons of CO₂ eq.","т CO₂-экв.")</f>
        <v>tons of CO₂ eq.</v>
      </c>
      <c r="D23" s="168" t="s">
        <v>185</v>
      </c>
      <c r="E23" s="168" t="s">
        <v>185</v>
      </c>
      <c r="F23" s="168" t="s">
        <v>185</v>
      </c>
      <c r="G23" s="168" t="s">
        <v>185</v>
      </c>
      <c r="H23" s="168" t="s">
        <v>185</v>
      </c>
      <c r="I23" s="168" t="s">
        <v>185</v>
      </c>
      <c r="J23" s="168" t="s">
        <v>185</v>
      </c>
      <c r="K23" s="184">
        <v>12792</v>
      </c>
      <c r="L23" s="184">
        <v>18662</v>
      </c>
      <c r="M23" s="184">
        <v>14846</v>
      </c>
      <c r="N23" s="98">
        <v>20716</v>
      </c>
      <c r="O23" s="881"/>
      <c r="P23" s="558" t="str">
        <f>IF(Contents!$B$2=2,"Yes","Да")</f>
        <v>Yes</v>
      </c>
      <c r="Q23" s="164"/>
      <c r="R23" s="465"/>
      <c r="S23" s="465"/>
      <c r="T23" s="465"/>
      <c r="U23" s="590"/>
      <c r="W23" s="558">
        <v>2</v>
      </c>
    </row>
    <row r="24" spans="1:250">
      <c r="B24" s="172"/>
      <c r="C24" s="173"/>
      <c r="D24" s="10"/>
      <c r="E24" s="10"/>
      <c r="F24" s="169"/>
      <c r="G24" s="169"/>
      <c r="H24" s="169"/>
      <c r="I24" s="169"/>
      <c r="J24" s="169"/>
      <c r="K24" s="169"/>
      <c r="L24" s="169"/>
      <c r="M24" s="169"/>
      <c r="N24" s="169"/>
      <c r="O24" s="365"/>
      <c r="P24" s="595"/>
      <c r="Q24" s="164"/>
      <c r="R24" s="465"/>
      <c r="S24" s="465"/>
      <c r="T24" s="465"/>
      <c r="U24" s="590"/>
      <c r="W24" s="558"/>
    </row>
    <row r="25" spans="1:250" s="1" customFormat="1" ht="50.1" customHeight="1">
      <c r="A25" s="851"/>
      <c r="B25" s="198" t="str">
        <f>IF(Contents!$B$2=2,"Direct greenhouse gas emissions (Scope 1) by the Company's enterprises located in the Arctic zone","Прямые выбросы в атмосферу парниковых газов (Область охвата 1) по предприятиям Компании, находящимся в Арктической зоне")</f>
        <v>Direct greenhouse gas emissions (Scope 1) by the Company's enterprises located in the Arctic zone</v>
      </c>
      <c r="C25" s="12" t="str">
        <f>IF(Contents!$B$2=2,"tons of CO₂ eq.","т CO₂-экв.")</f>
        <v>tons of CO₂ eq.</v>
      </c>
      <c r="D25" s="168" t="s">
        <v>185</v>
      </c>
      <c r="E25" s="168" t="s">
        <v>185</v>
      </c>
      <c r="F25" s="168" t="s">
        <v>185</v>
      </c>
      <c r="G25" s="168" t="s">
        <v>185</v>
      </c>
      <c r="H25" s="168" t="s">
        <v>185</v>
      </c>
      <c r="I25" s="168" t="s">
        <v>185</v>
      </c>
      <c r="J25" s="168" t="s">
        <v>185</v>
      </c>
      <c r="K25" s="168" t="s">
        <v>185</v>
      </c>
      <c r="L25" s="10">
        <v>8941868</v>
      </c>
      <c r="M25" s="10">
        <v>9177807</v>
      </c>
      <c r="N25" s="542">
        <v>9179800</v>
      </c>
      <c r="O25" s="881"/>
      <c r="P25" s="558"/>
      <c r="Q25" s="164"/>
      <c r="R25" s="590"/>
      <c r="S25" s="590"/>
      <c r="T25" s="590"/>
      <c r="U25" s="590"/>
      <c r="V25" s="589"/>
      <c r="W25" s="558"/>
      <c r="X25" s="589"/>
      <c r="Y25" s="589"/>
      <c r="Z25" s="785"/>
      <c r="AA25" s="785"/>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row>
    <row r="26" spans="1:250" ht="57.75" customHeight="1">
      <c r="B26" s="174" t="str">
        <f>IF(Contents!$B$2=2,"Indirect greenhouse gas emissions related to energy (Scope 2)","Косвенные энергетические выбросы парниковых газов (Область охвата 2)")</f>
        <v>Indirect greenhouse gas emissions related to energy (Scope 2)</v>
      </c>
      <c r="C26" s="42" t="str">
        <f>IF(Contents!$B$2=2,"tons of CO₂ eq.","т CO₂-экв.")</f>
        <v>tons of CO₂ eq.</v>
      </c>
      <c r="D26" s="239">
        <v>184500</v>
      </c>
      <c r="E26" s="239">
        <v>181900</v>
      </c>
      <c r="F26" s="239">
        <v>191500</v>
      </c>
      <c r="G26" s="239">
        <v>199700</v>
      </c>
      <c r="H26" s="239">
        <v>204800</v>
      </c>
      <c r="I26" s="239">
        <v>157356</v>
      </c>
      <c r="J26" s="239">
        <v>168739</v>
      </c>
      <c r="K26" s="239">
        <v>166524</v>
      </c>
      <c r="L26" s="239">
        <v>173457</v>
      </c>
      <c r="M26" s="239">
        <v>178108</v>
      </c>
      <c r="N26" s="239">
        <v>195965</v>
      </c>
      <c r="O26" s="881"/>
      <c r="P26" s="558" t="str">
        <f>IF(Contents!$B$2=2,"Yes","Да")</f>
        <v>Yes</v>
      </c>
      <c r="Q26" s="164"/>
      <c r="R26" s="465" t="s">
        <v>56</v>
      </c>
      <c r="S26" s="465"/>
      <c r="T26" s="465" t="s">
        <v>51</v>
      </c>
      <c r="U26" s="273" t="str">
        <f>IF(Contents!$B$2=2,"PBCS 8","СОКБ 8")</f>
        <v>PBCS 8</v>
      </c>
      <c r="W26" s="558">
        <v>2</v>
      </c>
    </row>
    <row r="27" spans="1:250" ht="17.45" customHeight="1">
      <c r="B27" s="23" t="str">
        <f>IF(Contents!$B$2=2,"by facilities","по сегментам")</f>
        <v>by facilities</v>
      </c>
      <c r="C27" s="176"/>
      <c r="D27" s="540"/>
      <c r="E27" s="540"/>
      <c r="F27" s="540"/>
      <c r="G27" s="540"/>
      <c r="H27" s="540"/>
      <c r="I27" s="540"/>
      <c r="J27" s="540"/>
      <c r="K27" s="540"/>
      <c r="L27" s="540"/>
      <c r="M27" s="540"/>
      <c r="N27" s="540"/>
      <c r="O27" s="880"/>
      <c r="P27" s="39"/>
      <c r="Q27" s="164"/>
      <c r="R27" s="465"/>
      <c r="S27" s="465"/>
      <c r="T27" s="465"/>
      <c r="U27" s="590"/>
      <c r="W27" s="39"/>
      <c r="Y27" s="595"/>
    </row>
    <row r="28" spans="1:250" s="1" customFormat="1" ht="29.25" customHeight="1">
      <c r="A28" s="851"/>
      <c r="B28" s="177" t="str">
        <f>IF(Contents!$B$2=2,"Production / Upstream facilities","Предприятия добычи")</f>
        <v>Production / Upstream facilities</v>
      </c>
      <c r="C28" s="12" t="str">
        <f>IF(Contents!$B$2=2,"tons of CO₂ eq.","т CO₂-экв.")</f>
        <v>tons of CO₂ eq.</v>
      </c>
      <c r="D28" s="168" t="s">
        <v>185</v>
      </c>
      <c r="E28" s="168" t="s">
        <v>185</v>
      </c>
      <c r="F28" s="168" t="s">
        <v>185</v>
      </c>
      <c r="G28" s="168" t="s">
        <v>185</v>
      </c>
      <c r="H28" s="168" t="s">
        <v>185</v>
      </c>
      <c r="I28" s="541">
        <v>99136</v>
      </c>
      <c r="J28" s="541">
        <v>109718</v>
      </c>
      <c r="K28" s="541">
        <v>104770</v>
      </c>
      <c r="L28" s="184">
        <v>105730</v>
      </c>
      <c r="M28" s="184">
        <v>108305</v>
      </c>
      <c r="N28" s="542">
        <v>118537</v>
      </c>
      <c r="O28" s="881"/>
      <c r="P28" s="558" t="str">
        <f>IF(Contents!$B$2=2,"Yes","Да")</f>
        <v>Yes</v>
      </c>
      <c r="Q28" s="164"/>
      <c r="R28" s="465"/>
      <c r="S28" s="465"/>
      <c r="T28" s="465"/>
      <c r="U28" s="590"/>
      <c r="V28" s="589"/>
      <c r="W28" s="558">
        <v>2</v>
      </c>
      <c r="X28" s="589"/>
      <c r="Y28" s="595"/>
      <c r="Z28" s="785"/>
      <c r="AA28" s="785"/>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row>
    <row r="29" spans="1:250" s="1" customFormat="1" ht="29.25" customHeight="1">
      <c r="A29" s="851"/>
      <c r="B29" s="177" t="str">
        <f>IF(Contents!$B$2=2,"Processing / Downstream facilities","Предприятия переработки")</f>
        <v>Processing / Downstream facilities</v>
      </c>
      <c r="C29" s="12" t="str">
        <f>IF(Contents!$B$2=2,"tons of CO₂ eq.","т CO₂-экв.")</f>
        <v>tons of CO₂ eq.</v>
      </c>
      <c r="D29" s="168" t="s">
        <v>185</v>
      </c>
      <c r="E29" s="168" t="s">
        <v>185</v>
      </c>
      <c r="F29" s="168" t="s">
        <v>185</v>
      </c>
      <c r="G29" s="168" t="s">
        <v>185</v>
      </c>
      <c r="H29" s="168" t="s">
        <v>185</v>
      </c>
      <c r="I29" s="541">
        <v>46926</v>
      </c>
      <c r="J29" s="541">
        <v>51678</v>
      </c>
      <c r="K29" s="541">
        <v>53030</v>
      </c>
      <c r="L29" s="184">
        <v>58751</v>
      </c>
      <c r="M29" s="184">
        <v>61089</v>
      </c>
      <c r="N29" s="542">
        <v>61368</v>
      </c>
      <c r="O29" s="881"/>
      <c r="P29" s="558" t="str">
        <f>IF(Contents!$B$2=2,"Yes","Да")</f>
        <v>Yes</v>
      </c>
      <c r="Q29" s="164"/>
      <c r="R29" s="465"/>
      <c r="S29" s="465"/>
      <c r="T29" s="465"/>
      <c r="U29" s="590"/>
      <c r="V29" s="589"/>
      <c r="W29" s="558">
        <v>2</v>
      </c>
      <c r="X29" s="589"/>
      <c r="Y29" s="595"/>
      <c r="Z29" s="785"/>
      <c r="AA29" s="785"/>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row>
    <row r="30" spans="1:250" s="1" customFormat="1" ht="29.25" customHeight="1">
      <c r="A30" s="851"/>
      <c r="B30" s="177" t="str">
        <f>IF(Contents!$B$2=2,"LNG production facilities","Производство СПГ")</f>
        <v>LNG production facilities</v>
      </c>
      <c r="C30" s="12" t="str">
        <f>IF(Contents!$B$2=2,"tons of CO₂ eq.","т CO₂-экв.")</f>
        <v>tons of CO₂ eq.</v>
      </c>
      <c r="D30" s="168" t="s">
        <v>185</v>
      </c>
      <c r="E30" s="168" t="s">
        <v>185</v>
      </c>
      <c r="F30" s="168" t="s">
        <v>185</v>
      </c>
      <c r="G30" s="168" t="s">
        <v>185</v>
      </c>
      <c r="H30" s="168" t="s">
        <v>185</v>
      </c>
      <c r="I30" s="541">
        <v>1636</v>
      </c>
      <c r="J30" s="541">
        <v>1867</v>
      </c>
      <c r="K30" s="541">
        <v>1698</v>
      </c>
      <c r="L30" s="184">
        <v>1820</v>
      </c>
      <c r="M30" s="184">
        <v>2412</v>
      </c>
      <c r="N30" s="542">
        <v>11700</v>
      </c>
      <c r="O30" s="881"/>
      <c r="P30" s="558" t="str">
        <f>IF(Contents!$B$2=2,"Yes","Да")</f>
        <v>Yes</v>
      </c>
      <c r="Q30" s="164"/>
      <c r="R30" s="465"/>
      <c r="S30" s="465"/>
      <c r="T30" s="465"/>
      <c r="U30" s="590"/>
      <c r="V30" s="589"/>
      <c r="W30" s="558">
        <v>2</v>
      </c>
      <c r="X30" s="589"/>
      <c r="Y30" s="595"/>
      <c r="Z30" s="785"/>
      <c r="AA30" s="785"/>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row>
    <row r="31" spans="1:250" s="1" customFormat="1" ht="29.25" customHeight="1">
      <c r="A31" s="851"/>
      <c r="B31" s="177" t="str">
        <f>IF(Contents!$B$2=2,"Energy service facilities","Предприятия энергосервиса")</f>
        <v>Energy service facilities</v>
      </c>
      <c r="C31" s="12" t="str">
        <f>IF(Contents!$B$2=2,"tons of CO₂ eq.","т CO₂-экв.")</f>
        <v>tons of CO₂ eq.</v>
      </c>
      <c r="D31" s="168" t="s">
        <v>185</v>
      </c>
      <c r="E31" s="168" t="s">
        <v>185</v>
      </c>
      <c r="F31" s="168" t="s">
        <v>185</v>
      </c>
      <c r="G31" s="168" t="s">
        <v>185</v>
      </c>
      <c r="H31" s="168" t="s">
        <v>185</v>
      </c>
      <c r="I31" s="541">
        <v>9658</v>
      </c>
      <c r="J31" s="541">
        <v>5476</v>
      </c>
      <c r="K31" s="541">
        <v>7026</v>
      </c>
      <c r="L31" s="184">
        <v>7156</v>
      </c>
      <c r="M31" s="184">
        <v>6302</v>
      </c>
      <c r="N31" s="542">
        <v>4360</v>
      </c>
      <c r="O31" s="881"/>
      <c r="P31" s="558" t="str">
        <f>IF(Contents!$B$2=2,"Yes","Да")</f>
        <v>Yes</v>
      </c>
      <c r="Q31" s="164"/>
      <c r="R31" s="465"/>
      <c r="S31" s="465"/>
      <c r="T31" s="465"/>
      <c r="U31" s="590"/>
      <c r="V31" s="589"/>
      <c r="W31" s="558">
        <v>2</v>
      </c>
      <c r="X31" s="589"/>
      <c r="Y31" s="595"/>
      <c r="Z31" s="785"/>
      <c r="AA31" s="785"/>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row>
    <row r="32" spans="1:250" s="1" customFormat="1">
      <c r="A32" s="851"/>
      <c r="B32" s="179"/>
      <c r="C32" s="180"/>
      <c r="D32" s="543"/>
      <c r="E32" s="543"/>
      <c r="F32" s="543"/>
      <c r="G32" s="543"/>
      <c r="H32" s="543"/>
      <c r="I32" s="543"/>
      <c r="J32" s="543"/>
      <c r="K32" s="543"/>
      <c r="L32" s="543"/>
      <c r="M32" s="543"/>
      <c r="N32" s="543"/>
      <c r="O32" s="781"/>
      <c r="P32" s="39"/>
      <c r="Q32" s="164"/>
      <c r="R32" s="465"/>
      <c r="S32" s="465"/>
      <c r="T32" s="465"/>
      <c r="U32" s="590"/>
      <c r="V32" s="589"/>
      <c r="W32" s="39"/>
      <c r="X32" s="589"/>
      <c r="Y32" s="595"/>
      <c r="Z32" s="785"/>
      <c r="AA32" s="785"/>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row>
    <row r="33" spans="1:250" s="1" customFormat="1" ht="41.45" customHeight="1">
      <c r="A33" s="851"/>
      <c r="B33" s="198" t="str">
        <f>IF(Contents!$B$2=2,"Indirect greenhouse gas emissions related to energy (Scope 2) for the Company's enterprises located in the Arctic zone","Косвенные выбросы в атмосферу парниковых газов (Область охвата 2) по предприятиям Компании, находящимся в Арктической зоне")</f>
        <v>Indirect greenhouse gas emissions related to energy (Scope 2) for the Company's enterprises located in the Arctic zone</v>
      </c>
      <c r="C33" s="12" t="str">
        <f>IF(Contents!$B$2=2,"tons of CO₂ eq.","т CO₂-экв.")</f>
        <v>tons of CO₂ eq.</v>
      </c>
      <c r="D33" s="168" t="s">
        <v>185</v>
      </c>
      <c r="E33" s="168" t="s">
        <v>185</v>
      </c>
      <c r="F33" s="168" t="s">
        <v>185</v>
      </c>
      <c r="G33" s="168" t="s">
        <v>185</v>
      </c>
      <c r="H33" s="168" t="s">
        <v>185</v>
      </c>
      <c r="I33" s="168" t="s">
        <v>185</v>
      </c>
      <c r="J33" s="168" t="s">
        <v>185</v>
      </c>
      <c r="K33" s="168" t="s">
        <v>185</v>
      </c>
      <c r="L33" s="10">
        <v>152698</v>
      </c>
      <c r="M33" s="10">
        <v>154495</v>
      </c>
      <c r="N33" s="542">
        <v>175024</v>
      </c>
      <c r="O33" s="365"/>
      <c r="P33" s="558" t="str">
        <f>IF(Contents!$B$2=2,"No","Нет")</f>
        <v>No</v>
      </c>
      <c r="Q33" s="164"/>
      <c r="R33" s="590"/>
      <c r="S33" s="590"/>
      <c r="T33" s="590"/>
      <c r="U33" s="590"/>
      <c r="V33" s="589"/>
      <c r="W33" s="558">
        <v>2</v>
      </c>
      <c r="X33" s="589"/>
      <c r="Y33" s="589"/>
      <c r="Z33" s="785"/>
      <c r="AA33" s="785"/>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row>
    <row r="34" spans="1:250" s="1" customFormat="1">
      <c r="A34" s="851"/>
      <c r="B34" s="25" t="str">
        <f>IF(Contents!$B$2=2,"Notes:","Примечания:")</f>
        <v>Notes:</v>
      </c>
      <c r="C34" s="180"/>
      <c r="D34" s="543"/>
      <c r="E34" s="543"/>
      <c r="F34" s="543"/>
      <c r="G34" s="543"/>
      <c r="H34" s="543"/>
      <c r="I34" s="543"/>
      <c r="J34" s="543"/>
      <c r="K34" s="543"/>
      <c r="L34" s="543"/>
      <c r="M34" s="543"/>
      <c r="N34" s="543"/>
      <c r="O34" s="781"/>
      <c r="P34" s="39"/>
      <c r="Q34" s="29"/>
      <c r="R34" s="465"/>
      <c r="S34" s="465"/>
      <c r="T34" s="465"/>
      <c r="U34" s="590"/>
      <c r="V34" s="589"/>
      <c r="W34" s="39"/>
      <c r="X34" s="589"/>
      <c r="Y34" s="595"/>
      <c r="Z34" s="785"/>
      <c r="AA34" s="785"/>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row>
    <row r="35" spans="1:250" s="1" customFormat="1">
      <c r="A35" s="851"/>
      <c r="B35" s="26" t="str">
        <f>IF(Contents!$B$2=2, C36, B36)</f>
        <v>Indirect greenhouse gas emissions related to energy (Scope 2) are calculated using a location-based method. This method reflects the average intensity of emissions in the grids in the region from which electricity is consumed.
The calculation was made in accordance with the methodology ‘Concept of calculation and publication of greenhouse gas emission factors of the Russian energy system’. This methodology was developed in 2022 by NP Market Council Association and ATS and received an international validation opinion.</v>
      </c>
      <c r="C35" s="180"/>
      <c r="D35" s="543"/>
      <c r="E35" s="543"/>
      <c r="F35" s="543"/>
      <c r="G35" s="543"/>
      <c r="H35" s="543"/>
      <c r="I35" s="543"/>
      <c r="J35" s="543"/>
      <c r="K35" s="543"/>
      <c r="L35" s="543"/>
      <c r="M35" s="543"/>
      <c r="N35" s="543"/>
      <c r="O35" s="781"/>
      <c r="P35" s="39"/>
      <c r="Q35" s="29"/>
      <c r="R35" s="465"/>
      <c r="S35" s="465"/>
      <c r="T35" s="465"/>
      <c r="U35" s="590"/>
      <c r="V35" s="589"/>
      <c r="W35" s="39"/>
      <c r="X35" s="589"/>
      <c r="Y35" s="595"/>
      <c r="Z35" s="785"/>
      <c r="AA35" s="785"/>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row>
    <row r="36" spans="1:250" s="1" customFormat="1" ht="20.100000000000001" customHeight="1">
      <c r="A36" s="851"/>
      <c r="B36" s="113" t="s">
        <v>8</v>
      </c>
      <c r="C36" s="142" t="s">
        <v>57</v>
      </c>
      <c r="D36" s="543"/>
      <c r="E36" s="543"/>
      <c r="F36" s="543"/>
      <c r="G36" s="543"/>
      <c r="H36" s="543"/>
      <c r="I36" s="543"/>
      <c r="J36" s="543"/>
      <c r="K36" s="543"/>
      <c r="L36" s="543"/>
      <c r="M36" s="543"/>
      <c r="N36" s="543"/>
      <c r="O36" s="781"/>
      <c r="P36" s="39"/>
      <c r="Q36" s="29"/>
      <c r="R36" s="494"/>
      <c r="S36" s="494"/>
      <c r="T36" s="494"/>
      <c r="U36" s="590"/>
      <c r="V36" s="589"/>
      <c r="W36" s="39"/>
      <c r="X36" s="589"/>
      <c r="Y36" s="596"/>
      <c r="Z36" s="785"/>
      <c r="AA36" s="785"/>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row>
    <row r="37" spans="1:250" ht="50.25" customHeight="1">
      <c r="B37" s="181" t="str">
        <f>IF(Contents!$B$2=2,"Other indirect greenhouse gas emissions (Scope 3)", "Прочие косвенные выбросы парниковых газов (Область охвата 3)")</f>
        <v>Other indirect greenhouse gas emissions (Scope 3)</v>
      </c>
      <c r="C37" s="42" t="str">
        <f>IF(Contents!$B$2=2,"tons of CO₂ eq.","т CO₂-экв.")</f>
        <v>tons of CO₂ eq.</v>
      </c>
      <c r="D37" s="182" t="s">
        <v>185</v>
      </c>
      <c r="E37" s="182" t="s">
        <v>185</v>
      </c>
      <c r="F37" s="182" t="s">
        <v>185</v>
      </c>
      <c r="G37" s="182" t="s">
        <v>185</v>
      </c>
      <c r="H37" s="182" t="s">
        <v>185</v>
      </c>
      <c r="I37" s="239">
        <v>173250940</v>
      </c>
      <c r="J37" s="239">
        <v>177815393</v>
      </c>
      <c r="K37" s="239">
        <v>181327829</v>
      </c>
      <c r="L37" s="239">
        <v>176396592</v>
      </c>
      <c r="M37" s="239">
        <v>181657502</v>
      </c>
      <c r="N37" s="239">
        <v>181098265</v>
      </c>
      <c r="O37" s="881"/>
      <c r="P37" s="558" t="str">
        <f>IF(Contents!$B$2=2,"Yes","Да")</f>
        <v>Yes</v>
      </c>
      <c r="Q37" s="29"/>
      <c r="R37" s="465" t="s">
        <v>58</v>
      </c>
      <c r="S37" s="465"/>
      <c r="T37" s="465" t="s">
        <v>51</v>
      </c>
      <c r="U37" s="590"/>
      <c r="W37" s="558">
        <v>2</v>
      </c>
      <c r="Y37" s="595"/>
    </row>
    <row r="38" spans="1:250" ht="25.5">
      <c r="B38" s="23" t="str">
        <f>IF(Contents!$B$2=2,"by category"," по категориям")</f>
        <v>by category</v>
      </c>
      <c r="C38" s="176"/>
      <c r="D38" s="540"/>
      <c r="E38" s="540"/>
      <c r="F38" s="540"/>
      <c r="G38" s="540"/>
      <c r="H38" s="540"/>
      <c r="I38" s="540"/>
      <c r="J38" s="540"/>
      <c r="K38" s="540"/>
      <c r="L38" s="540"/>
      <c r="M38" s="540"/>
      <c r="N38" s="540"/>
      <c r="O38" s="781"/>
      <c r="P38" s="39"/>
      <c r="Q38" s="29"/>
      <c r="R38" s="465" t="s">
        <v>58</v>
      </c>
      <c r="S38" s="493"/>
      <c r="T38" s="590"/>
      <c r="U38" s="590"/>
      <c r="V38" s="597"/>
      <c r="W38" s="39"/>
      <c r="X38" s="597"/>
      <c r="Y38" s="595"/>
    </row>
    <row r="39" spans="1:250" s="1" customFormat="1" ht="39.75" customHeight="1">
      <c r="A39" s="851"/>
      <c r="B39" s="183" t="str">
        <f>IF(Contents!$B$2=2,"Category 11 - Use of finished products","Категория 11 - использование готовой продукции")</f>
        <v>Category 11 - Use of finished products</v>
      </c>
      <c r="C39" s="12" t="str">
        <f>IF(Contents!$B$2=2,"tons of CO₂ eq.","т CO₂-экв.")</f>
        <v>tons of CO₂ eq.</v>
      </c>
      <c r="D39" s="168" t="s">
        <v>185</v>
      </c>
      <c r="E39" s="168" t="s">
        <v>185</v>
      </c>
      <c r="F39" s="168" t="s">
        <v>185</v>
      </c>
      <c r="G39" s="168" t="s">
        <v>185</v>
      </c>
      <c r="H39" s="168" t="s">
        <v>185</v>
      </c>
      <c r="I39" s="184">
        <v>173250940</v>
      </c>
      <c r="J39" s="10">
        <v>177815393</v>
      </c>
      <c r="K39" s="10">
        <v>174911650</v>
      </c>
      <c r="L39" s="10">
        <v>170030384</v>
      </c>
      <c r="M39" s="10">
        <v>174331692</v>
      </c>
      <c r="N39" s="542">
        <v>173883832</v>
      </c>
      <c r="O39" s="881"/>
      <c r="P39" s="558" t="str">
        <f>IF(Contents!$B$2=2,"Yes","Да")</f>
        <v>Yes</v>
      </c>
      <c r="Q39" s="29"/>
      <c r="R39" s="590"/>
      <c r="S39" s="590"/>
      <c r="T39" s="590"/>
      <c r="U39" s="590"/>
      <c r="V39" s="597"/>
      <c r="W39" s="558">
        <v>2</v>
      </c>
      <c r="X39" s="597"/>
      <c r="Y39" s="595"/>
      <c r="Z39" s="785"/>
      <c r="AA39" s="785"/>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row>
    <row r="40" spans="1:250" s="1" customFormat="1" ht="39.75" customHeight="1">
      <c r="A40" s="851"/>
      <c r="B40" s="183" t="str">
        <f>IF(Contents!$B$2=2,"Category 9 - downstream transportation and distribution (pipe gas)","Категория 9 - транспортировка и доставка готовой продукции (трубного газа)")</f>
        <v>Category 9 - downstream transportation and distribution (pipe gas)</v>
      </c>
      <c r="C40" s="12" t="str">
        <f>IF(Contents!$B$2=2,"tons of CO₂ eq.","т CO₂-экв.")</f>
        <v>tons of CO₂ eq.</v>
      </c>
      <c r="D40" s="168" t="s">
        <v>185</v>
      </c>
      <c r="E40" s="168" t="s">
        <v>185</v>
      </c>
      <c r="F40" s="168" t="s">
        <v>185</v>
      </c>
      <c r="G40" s="168" t="s">
        <v>185</v>
      </c>
      <c r="H40" s="168" t="s">
        <v>185</v>
      </c>
      <c r="I40" s="168" t="s">
        <v>185</v>
      </c>
      <c r="J40" s="168" t="s">
        <v>185</v>
      </c>
      <c r="K40" s="10">
        <v>6416179</v>
      </c>
      <c r="L40" s="10">
        <v>6366208</v>
      </c>
      <c r="M40" s="10">
        <v>7088180</v>
      </c>
      <c r="N40" s="542">
        <v>6964665</v>
      </c>
      <c r="O40" s="881"/>
      <c r="P40" s="558" t="str">
        <f>IF(Contents!$B$2=2,"Yes","Да")</f>
        <v>Yes</v>
      </c>
      <c r="Q40" s="29"/>
      <c r="R40" s="590"/>
      <c r="S40" s="590"/>
      <c r="T40" s="590"/>
      <c r="U40" s="590"/>
      <c r="V40" s="589"/>
      <c r="W40" s="558">
        <v>2</v>
      </c>
      <c r="X40" s="589"/>
      <c r="Y40" s="589"/>
      <c r="Z40" s="785"/>
      <c r="AA40" s="785"/>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row>
    <row r="41" spans="1:250" s="1" customFormat="1" ht="39.75" customHeight="1">
      <c r="A41" s="851"/>
      <c r="B41" s="183" t="str">
        <f>IF(Contents!$B$2=2,"Category 4 - upstream transportation and distribution","Категория 4 - транспортировка сырья и приобретенных товаров")</f>
        <v>Category 4 - upstream transportation and distribution</v>
      </c>
      <c r="C41" s="12" t="str">
        <f>IF(Contents!$B$2=2,"tons of CO₂ eq.","т CO₂-экв.")</f>
        <v>tons of CO₂ eq.</v>
      </c>
      <c r="D41" s="168" t="s">
        <v>185</v>
      </c>
      <c r="E41" s="168" t="s">
        <v>185</v>
      </c>
      <c r="F41" s="168" t="s">
        <v>185</v>
      </c>
      <c r="G41" s="168" t="s">
        <v>185</v>
      </c>
      <c r="H41" s="168" t="s">
        <v>185</v>
      </c>
      <c r="I41" s="168" t="s">
        <v>185</v>
      </c>
      <c r="J41" s="168" t="s">
        <v>185</v>
      </c>
      <c r="K41" s="168" t="s">
        <v>185</v>
      </c>
      <c r="L41" s="168" t="s">
        <v>185</v>
      </c>
      <c r="M41" s="168">
        <v>237630</v>
      </c>
      <c r="N41" s="542">
        <v>249768</v>
      </c>
      <c r="O41" s="881"/>
      <c r="P41" s="558" t="str">
        <f>IF(Contents!$B$2=2,"Yes","Да")</f>
        <v>Yes</v>
      </c>
      <c r="Q41" s="29"/>
      <c r="R41" s="590"/>
      <c r="S41" s="590"/>
      <c r="T41" s="590"/>
      <c r="U41" s="590"/>
      <c r="V41" s="589"/>
      <c r="W41" s="558">
        <v>2</v>
      </c>
      <c r="X41" s="589"/>
      <c r="Y41" s="589"/>
      <c r="Z41" s="785"/>
      <c r="AA41" s="785"/>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row>
    <row r="42" spans="1:250">
      <c r="O42" s="882"/>
    </row>
    <row r="43" spans="1:250" s="1" customFormat="1">
      <c r="A43" s="851"/>
      <c r="B43" s="25" t="str">
        <f>IF(Contents!$B$2=2,"Notes:","Примечания:")</f>
        <v>Notes:</v>
      </c>
      <c r="C43" s="180"/>
      <c r="D43" s="543"/>
      <c r="E43" s="543"/>
      <c r="F43" s="543"/>
      <c r="G43" s="543"/>
      <c r="H43" s="543"/>
      <c r="I43" s="543"/>
      <c r="J43" s="543"/>
      <c r="K43" s="543"/>
      <c r="L43" s="543"/>
      <c r="M43" s="543"/>
      <c r="N43" s="543"/>
      <c r="O43" s="365"/>
      <c r="P43" s="558"/>
      <c r="Q43" s="38"/>
      <c r="R43" s="590"/>
      <c r="S43" s="590"/>
      <c r="T43" s="590"/>
      <c r="U43" s="590"/>
      <c r="V43" s="589"/>
      <c r="W43" s="558"/>
      <c r="X43" s="589"/>
      <c r="Y43" s="589"/>
      <c r="Z43" s="785"/>
      <c r="AA43" s="785"/>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row>
    <row r="44" spans="1:250" s="1" customFormat="1">
      <c r="A44" s="851"/>
      <c r="B44" s="26" t="str">
        <f>IF(Contents!$B$2=2, C45, B45)</f>
        <v xml:space="preserve">Scope 3 greenhouse gas emissions related to the Company's extracted products are calculated using emission factors for the use of natural gas as fuel approved by Order of the Ministry of Natural Resources and Environment of the Russian Federation No. 371 dated 27 May 2022 "On Approval of Methods for Quantifying Greenhouse Gas Emissions and Greenhouse Gas Sinks", as well as using the Technical Guidelines for Calculating Scope 3 Emissions, version 1.0 of the Greenhouse Gas Protocol (GHG Protocol), assuming that oil and NGLs are sent for processing, and that other extracted products are incinerated as a fuel, for category 11 «Use of finished products» of the GHG Protocol Guidelines. </v>
      </c>
      <c r="C44" s="180"/>
      <c r="D44" s="543"/>
      <c r="E44" s="543"/>
      <c r="F44" s="543"/>
      <c r="G44" s="543"/>
      <c r="H44" s="543"/>
      <c r="I44" s="543"/>
      <c r="J44" s="543"/>
      <c r="K44" s="543"/>
      <c r="L44" s="543"/>
      <c r="M44" s="543"/>
      <c r="N44" s="543"/>
      <c r="O44" s="365"/>
      <c r="P44" s="558"/>
      <c r="Q44" s="38"/>
      <c r="R44" s="590"/>
      <c r="S44" s="590"/>
      <c r="T44" s="590"/>
      <c r="U44" s="590"/>
      <c r="V44" s="589"/>
      <c r="W44" s="558"/>
      <c r="X44" s="589"/>
      <c r="Y44" s="589"/>
      <c r="Z44" s="785"/>
      <c r="AA44" s="785"/>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row>
    <row r="45" spans="1:250" s="1" customFormat="1" ht="18" hidden="1" customHeight="1">
      <c r="A45" s="851"/>
      <c r="B45" s="113" t="s">
        <v>59</v>
      </c>
      <c r="C45" s="113" t="s">
        <v>184</v>
      </c>
      <c r="D45" s="543"/>
      <c r="E45" s="543"/>
      <c r="F45" s="543"/>
      <c r="G45" s="543"/>
      <c r="H45" s="543"/>
      <c r="I45" s="543"/>
      <c r="J45" s="543"/>
      <c r="K45" s="543"/>
      <c r="L45" s="543"/>
      <c r="M45" s="543"/>
      <c r="N45" s="543"/>
      <c r="O45" s="781"/>
      <c r="P45" s="558"/>
      <c r="Q45" s="29"/>
      <c r="R45" s="590"/>
      <c r="S45" s="590"/>
      <c r="T45" s="590"/>
      <c r="U45" s="590"/>
      <c r="V45" s="589"/>
      <c r="W45" s="558"/>
      <c r="X45" s="589"/>
      <c r="Y45" s="589"/>
      <c r="Z45" s="785"/>
      <c r="AA45" s="785"/>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row>
    <row r="46" spans="1:250" ht="25.5">
      <c r="B46" s="181" t="str">
        <f>IF(Contents!$B$2=2,"Specific direct GHG emissions (Scope 1)","Удельные прямые выбросы парниковых газов (Область охвата 1)")</f>
        <v>Specific direct GHG emissions (Scope 1)</v>
      </c>
      <c r="C46" s="185"/>
      <c r="D46" s="544"/>
      <c r="E46" s="544"/>
      <c r="F46" s="544"/>
      <c r="G46" s="544"/>
      <c r="H46" s="544"/>
      <c r="I46" s="544"/>
      <c r="J46" s="544"/>
      <c r="K46" s="544"/>
      <c r="L46" s="544"/>
      <c r="M46" s="544"/>
      <c r="N46" s="544"/>
      <c r="O46" s="781"/>
      <c r="P46" s="558"/>
      <c r="Q46" s="29"/>
      <c r="R46" s="465" t="s">
        <v>60</v>
      </c>
      <c r="S46" s="493"/>
      <c r="T46" s="465" t="s">
        <v>51</v>
      </c>
      <c r="U46" s="273" t="str">
        <f>IF(Contents!$B$2=2,"PBCS 9","СОКБ 9")</f>
        <v>PBCS 9</v>
      </c>
      <c r="W46" s="558"/>
    </row>
    <row r="47" spans="1:250" s="1" customFormat="1" ht="44.25" customHeight="1">
      <c r="A47" s="851"/>
      <c r="B47" s="190" t="str">
        <f>IF(Contents!$B$2=2,"Direct GHG emissions (Scope 1) intensity per hydrocarbon production","Удельные прямые выбросы парниковых газов (Область охвата 1) на добычу")</f>
        <v>Direct GHG emissions (Scope 1) intensity per hydrocarbon production</v>
      </c>
      <c r="C47" s="186" t="str">
        <f>IF(Contents!$B$2=2,"tons of CO₂ eq. / th. boe","т CO₂-экв. / тыс. бнэ")</f>
        <v>tons of CO₂ eq. / th. boe</v>
      </c>
      <c r="D47" s="168" t="s">
        <v>185</v>
      </c>
      <c r="E47" s="168" t="s">
        <v>185</v>
      </c>
      <c r="F47" s="10">
        <v>8494</v>
      </c>
      <c r="G47" s="10">
        <v>11018</v>
      </c>
      <c r="H47" s="10">
        <v>18842</v>
      </c>
      <c r="I47" s="10">
        <v>14889</v>
      </c>
      <c r="J47" s="10">
        <v>16043</v>
      </c>
      <c r="K47" s="10">
        <v>14754</v>
      </c>
      <c r="L47" s="10">
        <v>14701</v>
      </c>
      <c r="M47" s="10">
        <v>14357</v>
      </c>
      <c r="N47" s="548">
        <v>14313</v>
      </c>
      <c r="O47" s="881"/>
      <c r="P47" s="558" t="str">
        <f>IF(Contents!$B$2=2,"Yes","Да")</f>
        <v>Yes</v>
      </c>
      <c r="Q47" s="38"/>
      <c r="R47" s="465" t="s">
        <v>242</v>
      </c>
      <c r="S47" s="590"/>
      <c r="T47" s="590"/>
      <c r="U47" s="590"/>
      <c r="V47" s="589"/>
      <c r="W47" s="558">
        <v>2</v>
      </c>
      <c r="X47" s="589"/>
      <c r="Y47" s="595"/>
      <c r="Z47" s="785"/>
      <c r="AA47" s="785"/>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row>
    <row r="48" spans="1:250" s="1" customFormat="1" ht="44.25" customHeight="1">
      <c r="A48" s="851"/>
      <c r="B48" s="190" t="str">
        <f>IF(Contents!$B$2=2,"Direct GHG emissions (Scope 1) intensity per total revenue in RR","Удельные прямые выбросы парниковых газов (Область охвата 1) на выручку в рублях")</f>
        <v>Direct GHG emissions (Scope 1) intensity per total revenue in RR</v>
      </c>
      <c r="C48" s="186" t="str">
        <f>IF(Contents!$B$2=2,"tons of CO₂ eq. / RR mln sales"," т CO₂-экв. / млн руб. продаж ")</f>
        <v>tons of CO₂ eq. / RR mln sales</v>
      </c>
      <c r="D48" s="168" t="s">
        <v>185</v>
      </c>
      <c r="E48" s="168" t="s">
        <v>185</v>
      </c>
      <c r="F48" s="569">
        <v>7.48</v>
      </c>
      <c r="G48" s="569">
        <v>7.27</v>
      </c>
      <c r="H48" s="569">
        <v>12.88</v>
      </c>
      <c r="I48" s="569">
        <v>12.72</v>
      </c>
      <c r="J48" s="569">
        <v>8.69</v>
      </c>
      <c r="K48" s="570" t="s">
        <v>185</v>
      </c>
      <c r="L48" s="569">
        <v>6.91</v>
      </c>
      <c r="M48" s="569">
        <v>6.19</v>
      </c>
      <c r="N48" s="829">
        <v>6.66</v>
      </c>
      <c r="O48" s="365"/>
      <c r="P48" s="558"/>
      <c r="Q48" s="38"/>
      <c r="R48" s="590"/>
      <c r="S48" s="590"/>
      <c r="T48" s="590"/>
      <c r="U48" s="590"/>
      <c r="V48" s="589"/>
      <c r="W48" s="558">
        <v>2</v>
      </c>
      <c r="X48" s="589"/>
      <c r="Y48" s="595"/>
      <c r="Z48" s="785"/>
      <c r="AA48" s="785"/>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row>
    <row r="49" spans="1:250">
      <c r="B49" s="23" t="str">
        <f>IF(Contents!$B$2=2,"by facilities","по сегментам")</f>
        <v>by facilities</v>
      </c>
      <c r="C49" s="176"/>
      <c r="D49" s="540"/>
      <c r="E49" s="540"/>
      <c r="F49" s="540"/>
      <c r="G49" s="540"/>
      <c r="H49" s="540"/>
      <c r="I49" s="540"/>
      <c r="J49" s="540"/>
      <c r="K49" s="540"/>
      <c r="L49" s="540"/>
      <c r="M49" s="540"/>
      <c r="N49" s="540"/>
      <c r="O49" s="880"/>
      <c r="P49" s="39"/>
      <c r="Q49" s="37"/>
      <c r="R49" s="465"/>
      <c r="S49" s="465"/>
      <c r="T49" s="465"/>
      <c r="U49" s="590"/>
      <c r="W49" s="39"/>
      <c r="Y49" s="595"/>
    </row>
    <row r="50" spans="1:250" s="1" customFormat="1" ht="55.5" customHeight="1">
      <c r="A50" s="851"/>
      <c r="B50" s="177" t="str">
        <f>IF(Contents!$B$2=2,"Production / Upstream facilities","Предприятия добычи")</f>
        <v>Production / Upstream facilities</v>
      </c>
      <c r="C50" s="186" t="str">
        <f>IF(Contents!$B$2=2,"tons of CO₂ eq. / th. boe","т CO₂-экв. / тыс. бнэ")</f>
        <v>tons of CO₂ eq. / th. boe</v>
      </c>
      <c r="D50" s="168" t="s">
        <v>185</v>
      </c>
      <c r="E50" s="168" t="s">
        <v>185</v>
      </c>
      <c r="F50" s="168" t="s">
        <v>185</v>
      </c>
      <c r="G50" s="545">
        <v>8.76</v>
      </c>
      <c r="H50" s="545">
        <v>12.58</v>
      </c>
      <c r="I50" s="546">
        <v>8.65</v>
      </c>
      <c r="J50" s="546">
        <v>9.7569999999999997</v>
      </c>
      <c r="K50" s="546">
        <v>8.6270000000000007</v>
      </c>
      <c r="L50" s="546">
        <v>8.4939999999999998</v>
      </c>
      <c r="M50" s="546">
        <v>8.3970000000000002</v>
      </c>
      <c r="N50" s="547">
        <v>8.68</v>
      </c>
      <c r="O50" s="869"/>
      <c r="P50" s="558" t="str">
        <f>IF(Contents!$B$2=2,"Yes","Да")</f>
        <v>Yes</v>
      </c>
      <c r="Q50" s="29"/>
      <c r="R50" s="465"/>
      <c r="S50" s="465"/>
      <c r="T50" s="465"/>
      <c r="U50" s="590"/>
      <c r="V50" s="589"/>
      <c r="W50" s="558">
        <v>2</v>
      </c>
      <c r="X50" s="589"/>
      <c r="Y50" s="595"/>
      <c r="Z50" s="785"/>
      <c r="AA50" s="785"/>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row>
    <row r="51" spans="1:250" s="1" customFormat="1" ht="55.5" customHeight="1">
      <c r="A51" s="851"/>
      <c r="B51" s="177" t="str">
        <f>IF(Contents!$B$2=2,"Processing / Downstream facilities","Предприятия переработки")</f>
        <v>Processing / Downstream facilities</v>
      </c>
      <c r="C51" s="186" t="str">
        <f>IF(Contents!$B$2=2,"tons of CO₂ eq. / tons of processed hydrocarbon feedstock","т CO₂-экв. / т переработанного углеводородного сырья ")</f>
        <v>tons of CO₂ eq. / tons of processed hydrocarbon feedstock</v>
      </c>
      <c r="D51" s="168" t="s">
        <v>185</v>
      </c>
      <c r="E51" s="168" t="s">
        <v>185</v>
      </c>
      <c r="F51" s="168" t="s">
        <v>185</v>
      </c>
      <c r="G51" s="545">
        <v>3.6999999999999998E-2</v>
      </c>
      <c r="H51" s="545">
        <v>3.4000000000000002E-2</v>
      </c>
      <c r="I51" s="546">
        <v>3.1E-2</v>
      </c>
      <c r="J51" s="546">
        <v>3.4000000000000002E-2</v>
      </c>
      <c r="K51" s="546">
        <v>3.5000000000000003E-2</v>
      </c>
      <c r="L51" s="546">
        <v>3.7999999999999999E-2</v>
      </c>
      <c r="M51" s="546">
        <v>2.9000000000000001E-2</v>
      </c>
      <c r="N51" s="547">
        <v>3.4000000000000002E-2</v>
      </c>
      <c r="O51" s="869"/>
      <c r="P51" s="558" t="str">
        <f>IF(Contents!$B$2=2,"Yes","Да")</f>
        <v>Yes</v>
      </c>
      <c r="Q51" s="29"/>
      <c r="R51" s="465"/>
      <c r="S51" s="465"/>
      <c r="T51" s="465"/>
      <c r="U51" s="590"/>
      <c r="V51" s="589"/>
      <c r="W51" s="558">
        <v>2</v>
      </c>
      <c r="X51" s="589"/>
      <c r="Y51" s="595"/>
      <c r="Z51" s="785"/>
      <c r="AA51" s="785"/>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row>
    <row r="52" spans="1:250" s="1" customFormat="1" ht="55.5" customHeight="1">
      <c r="A52" s="851"/>
      <c r="B52" s="177" t="str">
        <f>IF(Contents!$B$2=2,"LNG production facilities","Производство СПГ")</f>
        <v>LNG production facilities</v>
      </c>
      <c r="C52" s="186" t="str">
        <f>IF(Contents!$B$2=2,"tons of CO₂ eq. / tons of LNG","т CO₂-экв. / т СПГ ")</f>
        <v>tons of CO₂ eq. / tons of LNG</v>
      </c>
      <c r="D52" s="168" t="s">
        <v>185</v>
      </c>
      <c r="E52" s="168" t="s">
        <v>185</v>
      </c>
      <c r="F52" s="168" t="s">
        <v>185</v>
      </c>
      <c r="G52" s="545">
        <v>0.27</v>
      </c>
      <c r="H52" s="545">
        <v>0.26</v>
      </c>
      <c r="I52" s="546">
        <v>0.24399999999999999</v>
      </c>
      <c r="J52" s="546">
        <v>0.24299999999999999</v>
      </c>
      <c r="K52" s="546">
        <v>0.22900000000000001</v>
      </c>
      <c r="L52" s="546">
        <v>0.24</v>
      </c>
      <c r="M52" s="546">
        <v>0.224</v>
      </c>
      <c r="N52" s="547">
        <v>0.24</v>
      </c>
      <c r="O52" s="869"/>
      <c r="P52" s="558" t="str">
        <f>IF(Contents!$B$2=2,"Yes","Да")</f>
        <v>Yes</v>
      </c>
      <c r="Q52" s="29"/>
      <c r="R52" s="465"/>
      <c r="S52" s="465"/>
      <c r="T52" s="465"/>
      <c r="U52" s="590"/>
      <c r="V52" s="589"/>
      <c r="W52" s="558">
        <v>2</v>
      </c>
      <c r="X52" s="589"/>
      <c r="Y52" s="595"/>
      <c r="Z52" s="785"/>
      <c r="AA52" s="785"/>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row>
    <row r="53" spans="1:250" s="1" customFormat="1" ht="25.5" customHeight="1">
      <c r="A53" s="851"/>
      <c r="B53" s="177"/>
      <c r="C53" s="186"/>
      <c r="D53" s="168"/>
      <c r="E53" s="168"/>
      <c r="F53" s="168"/>
      <c r="G53" s="545"/>
      <c r="H53" s="545"/>
      <c r="I53" s="546"/>
      <c r="J53" s="546"/>
      <c r="K53" s="546"/>
      <c r="L53" s="546"/>
      <c r="M53" s="546"/>
      <c r="N53" s="546"/>
      <c r="O53" s="365"/>
      <c r="P53" s="558"/>
      <c r="Q53" s="38"/>
      <c r="R53" s="465"/>
      <c r="S53" s="465"/>
      <c r="T53" s="465"/>
      <c r="U53" s="590"/>
      <c r="V53" s="589"/>
      <c r="W53" s="558"/>
      <c r="X53" s="589"/>
      <c r="Y53" s="595"/>
      <c r="Z53" s="785"/>
      <c r="AA53" s="785"/>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row>
    <row r="54" spans="1:250" s="1" customFormat="1" ht="25.5" customHeight="1">
      <c r="A54" s="851"/>
      <c r="B54" s="181" t="str">
        <f>IF(Contents!$B$2=2,"Specific GHG emissions","Удельные выбросы парниковых газов")</f>
        <v>Specific GHG emissions</v>
      </c>
      <c r="C54" s="185"/>
      <c r="D54" s="544"/>
      <c r="E54" s="544"/>
      <c r="F54" s="544"/>
      <c r="G54" s="544"/>
      <c r="H54" s="544"/>
      <c r="I54" s="544"/>
      <c r="J54" s="544"/>
      <c r="K54" s="544"/>
      <c r="L54" s="544"/>
      <c r="M54" s="544"/>
      <c r="N54" s="544"/>
      <c r="O54" s="365"/>
      <c r="P54" s="558"/>
      <c r="Q54" s="38"/>
      <c r="R54" s="465"/>
      <c r="S54" s="465"/>
      <c r="T54" s="465"/>
      <c r="U54" s="590"/>
      <c r="V54" s="589"/>
      <c r="W54" s="558"/>
      <c r="X54" s="589"/>
      <c r="Y54" s="595"/>
      <c r="Z54" s="785"/>
      <c r="AA54" s="785"/>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row>
    <row r="55" spans="1:250" s="1" customFormat="1" ht="33.6" customHeight="1">
      <c r="A55" s="851"/>
      <c r="B55" s="838" t="str">
        <f>IF(Contents!$B$2=2,"Specific greenhouse gas emissions in the production segment (Scope 1 and 2)","Удельные выбросы парниковых газов в сегменте добычи (области охвата 1 и 2)")</f>
        <v>Specific greenhouse gas emissions in the production segment (Scope 1 and 2)</v>
      </c>
      <c r="C55" s="839" t="str">
        <f>IF(Contents!$B$2=2," tons of CO₂ eq. / boe","т CO₂-экв. / бнэ")</f>
        <v xml:space="preserve"> tons of CO₂ eq. / boe</v>
      </c>
      <c r="D55" s="840" t="s">
        <v>185</v>
      </c>
      <c r="E55" s="840" t="s">
        <v>185</v>
      </c>
      <c r="F55" s="840" t="s">
        <v>185</v>
      </c>
      <c r="G55" s="840" t="s">
        <v>185</v>
      </c>
      <c r="H55" s="840" t="s">
        <v>185</v>
      </c>
      <c r="I55" s="840" t="s">
        <v>185</v>
      </c>
      <c r="J55" s="840" t="s">
        <v>185</v>
      </c>
      <c r="K55" s="840" t="s">
        <v>185</v>
      </c>
      <c r="L55" s="841">
        <v>8.8000000000000007</v>
      </c>
      <c r="M55" s="841">
        <v>8.6999999999999993</v>
      </c>
      <c r="N55" s="868">
        <v>9</v>
      </c>
      <c r="O55" s="365"/>
      <c r="P55" s="558"/>
      <c r="Q55" s="38"/>
      <c r="R55" s="465"/>
      <c r="S55" s="465"/>
      <c r="T55" s="465"/>
      <c r="U55" s="590"/>
      <c r="V55" s="589"/>
      <c r="W55" s="558">
        <v>2</v>
      </c>
      <c r="X55" s="589"/>
      <c r="Y55" s="595"/>
      <c r="Z55" s="785"/>
      <c r="AA55" s="785"/>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row>
    <row r="56" spans="1:250" s="1" customFormat="1" ht="44.25" customHeight="1">
      <c r="A56" s="851"/>
      <c r="B56" s="190" t="str">
        <f>IF(Contents!$B$2=2,"Indirect GHG emissions related to energy (Scope 2) intensity per hydrocarbon production","Удельные косвенные энергетические выбросы парниковых газов (Область охвата 2) на добычу")</f>
        <v>Indirect GHG emissions related to energy (Scope 2) intensity per hydrocarbon production</v>
      </c>
      <c r="C56" s="186" t="str">
        <f>IF(Contents!$B$2=2,"kg of CO₂ eq. / th. boe","кг CO₂-экв. на тыс. бнэ")</f>
        <v>kg of CO₂ eq. / th. boe</v>
      </c>
      <c r="D56" s="168" t="s">
        <v>185</v>
      </c>
      <c r="E56" s="168" t="s">
        <v>185</v>
      </c>
      <c r="F56" s="191">
        <v>373</v>
      </c>
      <c r="G56" s="191">
        <v>364</v>
      </c>
      <c r="H56" s="191">
        <v>347</v>
      </c>
      <c r="I56" s="191">
        <v>259</v>
      </c>
      <c r="J56" s="191">
        <v>269</v>
      </c>
      <c r="K56" s="191">
        <v>261</v>
      </c>
      <c r="L56" s="191">
        <v>269</v>
      </c>
      <c r="M56" s="191">
        <v>267</v>
      </c>
      <c r="N56" s="27">
        <v>291</v>
      </c>
      <c r="O56" s="869"/>
      <c r="P56" s="558" t="str">
        <f>IF(Contents!$B$2=2,"Yes","Да")</f>
        <v>Yes</v>
      </c>
      <c r="Q56" s="38"/>
      <c r="R56" s="465" t="s">
        <v>242</v>
      </c>
      <c r="S56" s="590"/>
      <c r="T56" s="590"/>
      <c r="U56" s="590"/>
      <c r="V56" s="589"/>
      <c r="W56" s="558">
        <v>2</v>
      </c>
      <c r="X56" s="589"/>
      <c r="Y56" s="595"/>
      <c r="Z56" s="785"/>
      <c r="AA56" s="78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row>
    <row r="57" spans="1:250" s="1" customFormat="1" ht="40.5" customHeight="1">
      <c r="A57" s="847"/>
      <c r="B57" s="647" t="str">
        <f>IF(Contents!$B$2=2,"Specific greenhouse gas emissions (Scope 1, 2 and 3) calculated in unified energy equivalent","Удельные выбросы парниковых газов (области охвата 1, 2 и 3) рассчитанные в едином энергетическом эквиваленте")</f>
        <v>Specific greenhouse gas emissions (Scope 1, 2 and 3) calculated in unified energy equivalent</v>
      </c>
      <c r="C57" s="186" t="str">
        <f>IF(Contents!$B$2=2,"g of CO₂ eq. / MJ","г CO₂-экв. / МДж")</f>
        <v>g of CO₂ eq. / MJ</v>
      </c>
      <c r="D57" s="168" t="s">
        <v>185</v>
      </c>
      <c r="E57" s="168" t="s">
        <v>185</v>
      </c>
      <c r="F57" s="168" t="s">
        <v>185</v>
      </c>
      <c r="G57" s="168" t="s">
        <v>185</v>
      </c>
      <c r="H57" s="168" t="s">
        <v>185</v>
      </c>
      <c r="I57" s="168" t="s">
        <v>185</v>
      </c>
      <c r="J57" s="168" t="s">
        <v>185</v>
      </c>
      <c r="K57" s="168" t="s">
        <v>185</v>
      </c>
      <c r="L57" s="649">
        <v>45.5</v>
      </c>
      <c r="M57" s="649">
        <v>45.1</v>
      </c>
      <c r="N57" s="848">
        <v>44.6</v>
      </c>
      <c r="O57" s="365"/>
      <c r="P57" s="558"/>
      <c r="Q57" s="38"/>
      <c r="R57" s="465"/>
      <c r="S57" s="465"/>
      <c r="T57" s="465"/>
      <c r="U57" s="590"/>
      <c r="V57" s="589"/>
      <c r="W57" s="558">
        <v>2</v>
      </c>
      <c r="X57" s="589"/>
      <c r="Y57" s="595"/>
      <c r="Z57" s="785"/>
      <c r="AA57" s="78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row>
    <row r="58" spans="1:250" s="1" customFormat="1" ht="44.25" customHeight="1">
      <c r="A58" s="847"/>
      <c r="B58" s="190" t="str">
        <f>IF(Contents!$B$2=2,"GHG Intensity (Other indirect GHG emissions (Scope 3) intensity per hydrocarbon production)","GHG Intensity (Удельные косвенные прочие выбросы парниковых газов (Область охвата 3) на добычу)")</f>
        <v>GHG Intensity (Other indirect GHG emissions (Scope 3) intensity per hydrocarbon production)</v>
      </c>
      <c r="C58" s="186" t="str">
        <f>IF(Contents!$B$2=2,"kg of CO₂ eq. / boe","кг CO₂-экв. / бнэ")</f>
        <v>kg of CO₂ eq. / boe</v>
      </c>
      <c r="D58" s="168" t="s">
        <v>185</v>
      </c>
      <c r="E58" s="168" t="s">
        <v>185</v>
      </c>
      <c r="F58" s="168" t="s">
        <v>185</v>
      </c>
      <c r="G58" s="191">
        <v>298</v>
      </c>
      <c r="H58" s="191">
        <v>298</v>
      </c>
      <c r="I58" s="191">
        <v>295</v>
      </c>
      <c r="J58" s="192">
        <v>294</v>
      </c>
      <c r="K58" s="192">
        <v>289</v>
      </c>
      <c r="L58" s="192">
        <v>290</v>
      </c>
      <c r="M58" s="192">
        <v>286</v>
      </c>
      <c r="N58" s="27">
        <v>286</v>
      </c>
      <c r="O58" s="869"/>
      <c r="P58" s="558" t="str">
        <f>IF(Contents!$B$2=2,"Yes","Да")</f>
        <v>Yes</v>
      </c>
      <c r="Q58" s="38"/>
      <c r="R58" s="590"/>
      <c r="S58" s="590"/>
      <c r="T58" s="590"/>
      <c r="U58" s="590"/>
      <c r="V58" s="589"/>
      <c r="W58" s="558">
        <v>2</v>
      </c>
      <c r="X58" s="589"/>
      <c r="Y58" s="595"/>
      <c r="Z58" s="785"/>
      <c r="AA58" s="78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row>
    <row r="59" spans="1:250" s="1" customFormat="1" ht="25.5" customHeight="1">
      <c r="A59" s="851"/>
      <c r="B59" s="25" t="str">
        <f>IF(Contents!$B$2=2,"Notes:","Примечания:")</f>
        <v>Notes:</v>
      </c>
      <c r="C59" s="186"/>
      <c r="D59" s="168"/>
      <c r="E59" s="168"/>
      <c r="F59" s="168"/>
      <c r="G59" s="168"/>
      <c r="H59" s="168"/>
      <c r="I59" s="168"/>
      <c r="J59" s="168"/>
      <c r="K59" s="168"/>
      <c r="L59" s="168"/>
      <c r="M59" s="168"/>
      <c r="N59" s="168"/>
      <c r="O59" s="365"/>
      <c r="P59" s="558"/>
      <c r="Q59" s="38"/>
      <c r="R59" s="465"/>
      <c r="S59" s="465"/>
      <c r="T59" s="465"/>
      <c r="U59" s="590"/>
      <c r="V59" s="589"/>
      <c r="W59" s="558"/>
      <c r="X59" s="589"/>
      <c r="Y59" s="595"/>
      <c r="Z59" s="785"/>
      <c r="AA59" s="78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row>
    <row r="60" spans="1:250" s="1" customFormat="1" ht="25.5" customHeight="1">
      <c r="A60" s="851"/>
      <c r="B60" s="26" t="str">
        <f>IF(Contents!$B$2=2, C63, B63)</f>
        <v>The specific greenhouse gas emissions in the production segment are calculated as the ratio of gross greenhouse gas emissions (coverage areas 1 and 2) in the production segment to the annual volume of hydrocarbon production in accordance with the OGCI methodology. The production segment also includes hydrocarbon exploration.</v>
      </c>
      <c r="C60" s="180"/>
      <c r="D60" s="543"/>
      <c r="E60" s="543"/>
      <c r="F60" s="543"/>
      <c r="G60" s="543"/>
      <c r="H60" s="543"/>
      <c r="I60" s="543"/>
      <c r="J60" s="543"/>
      <c r="K60" s="543"/>
      <c r="L60" s="543"/>
      <c r="M60" s="543"/>
      <c r="N60" s="543"/>
      <c r="O60" s="365"/>
      <c r="P60" s="558"/>
      <c r="Q60" s="38"/>
      <c r="R60" s="465"/>
      <c r="S60" s="465"/>
      <c r="T60" s="465"/>
      <c r="U60" s="590"/>
      <c r="V60" s="589"/>
      <c r="W60" s="558"/>
      <c r="X60" s="589"/>
      <c r="Y60" s="595"/>
      <c r="Z60" s="785"/>
      <c r="AA60" s="785"/>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row>
    <row r="61" spans="1:250" s="1" customFormat="1" ht="25.5" customHeight="1">
      <c r="A61" s="851" t="s">
        <v>52</v>
      </c>
      <c r="B61" s="26" t="str">
        <f>IF(Contents!$B$2=2, E63, D63)</f>
        <v>Specific greenhouse gas emissions are calculated as the ratio of gross greenhouse gas emissions (coverage areas 1, 2, and 3) over the entire product lifecycle from extraction of raw materials to consumer use to annual output expressed in energy units (MJ). The calculation uses API Compendium coefficients, and takes into account category 11 of other indirect greenhouse gas emissions (scope 3).</v>
      </c>
      <c r="C61" s="180"/>
      <c r="D61" s="543"/>
      <c r="E61" s="543"/>
      <c r="F61" s="543"/>
      <c r="G61" s="543"/>
      <c r="H61" s="543"/>
      <c r="I61" s="543"/>
      <c r="J61" s="543"/>
      <c r="K61" s="543"/>
      <c r="L61" s="543"/>
      <c r="M61" s="543"/>
      <c r="N61" s="543"/>
      <c r="O61" s="365"/>
      <c r="P61" s="558"/>
      <c r="Q61" s="38"/>
      <c r="R61" s="465"/>
      <c r="S61" s="465"/>
      <c r="T61" s="465"/>
      <c r="U61" s="590"/>
      <c r="V61" s="589"/>
      <c r="W61" s="558"/>
      <c r="X61" s="589"/>
      <c r="Y61" s="595"/>
      <c r="Z61" s="785"/>
      <c r="AA61" s="785"/>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row>
    <row r="62" spans="1:250" s="1" customFormat="1" ht="25.5" customHeight="1">
      <c r="A62" s="851"/>
      <c r="B62" s="26" t="str">
        <f>IF(Contents!$B$2=2, G63, F63)</f>
        <v>Specific methane emissions are calculated as the ratio of gross methane emissions to annual natural gas sales in accordance with the OGCI methodology.</v>
      </c>
      <c r="D62" s="543"/>
      <c r="E62" s="543"/>
      <c r="F62" s="543"/>
      <c r="G62" s="543"/>
      <c r="H62" s="543"/>
      <c r="I62" s="543"/>
      <c r="J62" s="543"/>
      <c r="K62" s="543"/>
      <c r="L62" s="543"/>
      <c r="M62" s="543"/>
      <c r="N62" s="543"/>
      <c r="O62" s="365"/>
      <c r="P62" s="558"/>
      <c r="Q62" s="38"/>
      <c r="R62" s="465"/>
      <c r="S62" s="465"/>
      <c r="T62" s="465"/>
      <c r="U62" s="590"/>
      <c r="V62" s="589"/>
      <c r="W62" s="558"/>
      <c r="X62" s="589"/>
      <c r="Y62" s="595"/>
      <c r="Z62" s="785"/>
      <c r="AA62" s="785"/>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row>
    <row r="63" spans="1:250" s="1" customFormat="1" ht="25.5" hidden="1" customHeight="1">
      <c r="A63" s="851"/>
      <c r="B63" s="114" t="s">
        <v>187</v>
      </c>
      <c r="C63" s="227" t="s">
        <v>190</v>
      </c>
      <c r="D63" s="528" t="s">
        <v>189</v>
      </c>
      <c r="E63" s="555" t="s">
        <v>191</v>
      </c>
      <c r="F63" s="528" t="s">
        <v>188</v>
      </c>
      <c r="G63" s="528" t="s">
        <v>192</v>
      </c>
      <c r="H63" s="556"/>
      <c r="I63" s="556"/>
      <c r="J63" s="556"/>
      <c r="K63" s="556"/>
      <c r="L63" s="556"/>
      <c r="M63" s="556"/>
      <c r="N63" s="556"/>
      <c r="O63" s="365"/>
      <c r="P63" s="558"/>
      <c r="Q63" s="38"/>
      <c r="R63" s="465"/>
      <c r="S63" s="465"/>
      <c r="T63" s="465"/>
      <c r="U63" s="590"/>
      <c r="V63" s="589"/>
      <c r="W63" s="558"/>
      <c r="X63" s="589"/>
      <c r="Y63" s="595"/>
      <c r="Z63" s="785"/>
      <c r="AA63" s="78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row>
    <row r="64" spans="1:250" s="1" customFormat="1" ht="25.5" customHeight="1">
      <c r="A64" s="851"/>
      <c r="B64" s="181" t="str">
        <f>IF(Contents!$B$2=2,"Methane","Метан")</f>
        <v>Methane</v>
      </c>
      <c r="C64" s="185"/>
      <c r="D64" s="544"/>
      <c r="E64" s="544"/>
      <c r="F64" s="544"/>
      <c r="G64" s="544"/>
      <c r="H64" s="544"/>
      <c r="I64" s="544"/>
      <c r="J64" s="544"/>
      <c r="K64" s="544"/>
      <c r="L64" s="544"/>
      <c r="M64" s="544"/>
      <c r="N64" s="544"/>
      <c r="O64" s="365"/>
      <c r="P64" s="558"/>
      <c r="Q64" s="38"/>
      <c r="V64" s="589"/>
      <c r="W64" s="558"/>
      <c r="X64" s="589"/>
      <c r="Y64" s="595"/>
      <c r="Z64" s="785"/>
      <c r="AA64" s="785"/>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row>
    <row r="65" spans="1:250" s="1" customFormat="1" ht="25.5" customHeight="1">
      <c r="A65" s="851"/>
      <c r="B65" s="409" t="str">
        <f>IF(Contents!$B$2=2,"Methane emissions","Выбросы метана")</f>
        <v>Methane emissions</v>
      </c>
      <c r="C65" s="12" t="str">
        <f>IF(Contents!$B$2=2,"tons","тонн")</f>
        <v>tons</v>
      </c>
      <c r="D65" s="168" t="s">
        <v>185</v>
      </c>
      <c r="E65" s="168" t="s">
        <v>185</v>
      </c>
      <c r="F65" s="168" t="s">
        <v>185</v>
      </c>
      <c r="G65" s="168" t="s">
        <v>185</v>
      </c>
      <c r="H65" s="10">
        <v>6160</v>
      </c>
      <c r="I65" s="10">
        <v>8886</v>
      </c>
      <c r="J65" s="10">
        <v>8156</v>
      </c>
      <c r="K65" s="10">
        <v>6343</v>
      </c>
      <c r="L65" s="10">
        <v>6151</v>
      </c>
      <c r="M65" s="10">
        <v>6292</v>
      </c>
      <c r="N65" s="548">
        <v>6574</v>
      </c>
      <c r="O65" s="869"/>
      <c r="P65" s="558" t="str">
        <f>IF(Contents!$B$2=2,"Yes","Да")</f>
        <v>Yes</v>
      </c>
      <c r="Q65" s="38"/>
      <c r="R65" s="273" t="s">
        <v>92</v>
      </c>
      <c r="S65" s="273" t="s">
        <v>93</v>
      </c>
      <c r="T65" s="273" t="s">
        <v>186</v>
      </c>
      <c r="U65" s="273" t="str">
        <f>IF(Contents!$B$2=2,"PBCS 7","СОКБ 7")</f>
        <v>PBCS 7</v>
      </c>
      <c r="V65" s="589"/>
      <c r="W65" s="558">
        <v>2</v>
      </c>
      <c r="X65" s="589"/>
      <c r="Y65" s="595"/>
      <c r="Z65" s="785"/>
      <c r="AA65" s="785"/>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row>
    <row r="66" spans="1:250" s="1" customFormat="1">
      <c r="A66" s="851"/>
      <c r="B66" s="23" t="str">
        <f>IF(Contents!$B$2=2,"by facilities","по сегментам")</f>
        <v>by facilities</v>
      </c>
      <c r="C66" s="176"/>
      <c r="D66" s="540"/>
      <c r="E66" s="540"/>
      <c r="F66" s="540"/>
      <c r="G66" s="540"/>
      <c r="H66" s="648"/>
      <c r="I66" s="648"/>
      <c r="J66" s="648"/>
      <c r="K66" s="648"/>
      <c r="L66" s="648"/>
      <c r="M66" s="648"/>
      <c r="N66" s="648"/>
      <c r="O66" s="365"/>
      <c r="P66" s="558"/>
      <c r="Q66" s="38"/>
      <c r="R66" s="465"/>
      <c r="S66" s="465"/>
      <c r="T66" s="465"/>
      <c r="U66" s="590"/>
      <c r="V66" s="589"/>
      <c r="W66" s="558"/>
      <c r="X66" s="589"/>
      <c r="Y66" s="595"/>
      <c r="Z66" s="785"/>
      <c r="AA66" s="785"/>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row>
    <row r="67" spans="1:250" s="1" customFormat="1" ht="25.5" customHeight="1">
      <c r="A67" s="851"/>
      <c r="B67" s="177" t="str">
        <f>IF(Contents!$B$2=2,"Production / Upstream facilities","Предприятия добычи")</f>
        <v>Production / Upstream facilities</v>
      </c>
      <c r="C67" s="12" t="str">
        <f>IF(Contents!$B$2=2,"tons","тонн")</f>
        <v>tons</v>
      </c>
      <c r="D67" s="168" t="s">
        <v>185</v>
      </c>
      <c r="E67" s="168" t="s">
        <v>185</v>
      </c>
      <c r="F67" s="168" t="s">
        <v>185</v>
      </c>
      <c r="G67" s="168" t="s">
        <v>185</v>
      </c>
      <c r="H67" s="10">
        <v>5913</v>
      </c>
      <c r="I67" s="10">
        <v>8391</v>
      </c>
      <c r="J67" s="10">
        <v>7516</v>
      </c>
      <c r="K67" s="10">
        <v>5877</v>
      </c>
      <c r="L67" s="10">
        <v>5364</v>
      </c>
      <c r="M67" s="10">
        <v>5010</v>
      </c>
      <c r="N67" s="548">
        <v>5347</v>
      </c>
      <c r="O67" s="869"/>
      <c r="P67" s="558"/>
      <c r="Q67" s="38"/>
      <c r="R67" s="465"/>
      <c r="S67" s="465"/>
      <c r="T67" s="465"/>
      <c r="U67" s="590"/>
      <c r="V67" s="589"/>
      <c r="W67" s="558">
        <v>2</v>
      </c>
      <c r="X67" s="589"/>
      <c r="Y67" s="595"/>
      <c r="Z67" s="785"/>
      <c r="AA67" s="785"/>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row>
    <row r="68" spans="1:250" s="1" customFormat="1" ht="25.5" customHeight="1">
      <c r="A68" s="851"/>
      <c r="B68" s="177" t="str">
        <f>IF(Contents!$B$2=2,"Processing / Downstream facilities","Предприятия переработки")</f>
        <v>Processing / Downstream facilities</v>
      </c>
      <c r="C68" s="12" t="str">
        <f>IF(Contents!$B$2=2,"tons","тонн")</f>
        <v>tons</v>
      </c>
      <c r="D68" s="168" t="s">
        <v>185</v>
      </c>
      <c r="E68" s="168" t="s">
        <v>185</v>
      </c>
      <c r="F68" s="168" t="s">
        <v>185</v>
      </c>
      <c r="G68" s="168" t="s">
        <v>185</v>
      </c>
      <c r="H68" s="10">
        <v>88</v>
      </c>
      <c r="I68" s="10">
        <v>84</v>
      </c>
      <c r="J68" s="10">
        <v>81</v>
      </c>
      <c r="K68" s="10">
        <v>86</v>
      </c>
      <c r="L68" s="10">
        <v>95</v>
      </c>
      <c r="M68" s="10">
        <v>50</v>
      </c>
      <c r="N68" s="548">
        <v>81</v>
      </c>
      <c r="O68" s="869"/>
      <c r="P68" s="558"/>
      <c r="Q68" s="38"/>
      <c r="R68" s="465"/>
      <c r="S68" s="465"/>
      <c r="T68" s="465"/>
      <c r="U68" s="590"/>
      <c r="V68" s="589"/>
      <c r="W68" s="558">
        <v>2</v>
      </c>
      <c r="X68" s="589"/>
      <c r="Y68" s="595"/>
      <c r="Z68" s="785"/>
      <c r="AA68" s="785"/>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row>
    <row r="69" spans="1:250" s="1" customFormat="1" ht="25.5" customHeight="1">
      <c r="A69" s="851"/>
      <c r="B69" s="177" t="str">
        <f>IF(Contents!$B$2=2,"LNG production facilities","Производство СПГ")</f>
        <v>LNG production facilities</v>
      </c>
      <c r="C69" s="12" t="str">
        <f>IF(Contents!$B$2=2,"tons","тонн")</f>
        <v>tons</v>
      </c>
      <c r="D69" s="168" t="s">
        <v>185</v>
      </c>
      <c r="E69" s="168" t="s">
        <v>185</v>
      </c>
      <c r="F69" s="168" t="s">
        <v>185</v>
      </c>
      <c r="G69" s="168" t="s">
        <v>185</v>
      </c>
      <c r="H69" s="10">
        <v>159</v>
      </c>
      <c r="I69" s="10">
        <v>270</v>
      </c>
      <c r="J69" s="10">
        <v>479</v>
      </c>
      <c r="K69" s="10">
        <v>316</v>
      </c>
      <c r="L69" s="10">
        <v>183</v>
      </c>
      <c r="M69" s="10">
        <v>186</v>
      </c>
      <c r="N69" s="548">
        <v>276</v>
      </c>
      <c r="O69" s="869"/>
      <c r="P69" s="558"/>
      <c r="Q69" s="38"/>
      <c r="R69" s="465"/>
      <c r="S69" s="465"/>
      <c r="T69" s="465"/>
      <c r="U69" s="590"/>
      <c r="V69" s="589"/>
      <c r="W69" s="558">
        <v>2</v>
      </c>
      <c r="X69" s="589"/>
      <c r="Y69" s="595"/>
      <c r="Z69" s="785"/>
      <c r="AA69" s="785"/>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row>
    <row r="70" spans="1:250" s="1" customFormat="1" ht="25.5" customHeight="1">
      <c r="A70" s="851"/>
      <c r="B70" s="177" t="str">
        <f>IF(Contents!$B$2=2,"Energy service facilities","Предприятия энергосервиса")</f>
        <v>Energy service facilities</v>
      </c>
      <c r="C70" s="12" t="str">
        <f>IF(Contents!$B$2=2,"tons","тонн")</f>
        <v>tons</v>
      </c>
      <c r="D70" s="168" t="s">
        <v>185</v>
      </c>
      <c r="E70" s="168" t="s">
        <v>185</v>
      </c>
      <c r="F70" s="168" t="s">
        <v>185</v>
      </c>
      <c r="G70" s="168" t="s">
        <v>185</v>
      </c>
      <c r="H70" s="10" t="s">
        <v>185</v>
      </c>
      <c r="I70" s="10">
        <v>141</v>
      </c>
      <c r="J70" s="10">
        <v>80</v>
      </c>
      <c r="K70" s="10">
        <v>64</v>
      </c>
      <c r="L70" s="10">
        <v>509</v>
      </c>
      <c r="M70" s="10">
        <v>1046</v>
      </c>
      <c r="N70" s="548">
        <v>870</v>
      </c>
      <c r="O70" s="869"/>
      <c r="P70" s="558"/>
      <c r="Q70" s="38"/>
      <c r="R70" s="465"/>
      <c r="S70" s="465"/>
      <c r="T70" s="465"/>
      <c r="U70" s="590"/>
      <c r="V70" s="589"/>
      <c r="W70" s="558">
        <v>2</v>
      </c>
      <c r="X70" s="589"/>
      <c r="Y70" s="595"/>
      <c r="Z70" s="785"/>
      <c r="AA70" s="785"/>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row>
    <row r="71" spans="1:250" s="1" customFormat="1">
      <c r="A71" s="851"/>
      <c r="B71" s="23" t="str">
        <f>IF(Contents!$B$2=2,"Methane Emissions Intensity","Интенсивность выбросов метана")</f>
        <v>Methane Emissions Intensity</v>
      </c>
      <c r="C71" s="176"/>
      <c r="D71" s="540"/>
      <c r="E71" s="540"/>
      <c r="F71" s="540"/>
      <c r="G71" s="540"/>
      <c r="H71" s="648"/>
      <c r="I71" s="648"/>
      <c r="J71" s="648"/>
      <c r="K71" s="648"/>
      <c r="L71" s="648"/>
      <c r="M71" s="648"/>
      <c r="N71" s="648"/>
      <c r="O71" s="365"/>
      <c r="P71" s="558"/>
      <c r="Q71" s="38"/>
      <c r="R71" s="465"/>
      <c r="S71" s="465"/>
      <c r="T71" s="465"/>
      <c r="U71" s="590"/>
      <c r="V71" s="589"/>
      <c r="W71" s="558"/>
      <c r="X71" s="589"/>
      <c r="Y71" s="595"/>
      <c r="Z71" s="785"/>
      <c r="AA71" s="785"/>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row>
    <row r="72" spans="1:250" s="1" customFormat="1" ht="39.950000000000003" customHeight="1">
      <c r="A72" s="851"/>
      <c r="B72" s="647" t="str">
        <f>IF(Contents!$B$2=2,"Specific methane emissions from natural gas extraction, processing and liquefaction enterprises","Удельные выбросы метана по предприятиям добычи, переработки и сжижения природного газа")</f>
        <v>Specific methane emissions from natural gas extraction, processing and liquefaction enterprises</v>
      </c>
      <c r="C72" s="186" t="str">
        <f>IF(Contents!$B$2=2,"tons / million boe","т / млн бнэ")</f>
        <v>tons / million boe</v>
      </c>
      <c r="D72" s="168" t="s">
        <v>185</v>
      </c>
      <c r="E72" s="168" t="s">
        <v>185</v>
      </c>
      <c r="F72" s="168" t="s">
        <v>185</v>
      </c>
      <c r="G72" s="168" t="s">
        <v>185</v>
      </c>
      <c r="H72" s="646">
        <v>10.44</v>
      </c>
      <c r="I72" s="646">
        <v>14.44</v>
      </c>
      <c r="J72" s="646">
        <v>12.89</v>
      </c>
      <c r="K72" s="646">
        <v>9.83</v>
      </c>
      <c r="L72" s="646">
        <v>8.75</v>
      </c>
      <c r="M72" s="646">
        <v>7.87</v>
      </c>
      <c r="N72" s="680">
        <v>8.48</v>
      </c>
      <c r="O72" s="869"/>
      <c r="P72" s="558" t="str">
        <f>IF(Contents!$B$2=2,"Yes","Да")</f>
        <v>Yes</v>
      </c>
      <c r="Q72" s="38"/>
      <c r="R72" s="465"/>
      <c r="S72" s="465"/>
      <c r="T72" s="465"/>
      <c r="U72" s="590"/>
      <c r="V72" s="589"/>
      <c r="W72" s="558">
        <v>2</v>
      </c>
      <c r="X72" s="589"/>
      <c r="Y72" s="595"/>
      <c r="Z72" s="785"/>
      <c r="AA72" s="785"/>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row>
    <row r="73" spans="1:250" s="1" customFormat="1" ht="25.5" customHeight="1">
      <c r="A73" s="851"/>
      <c r="B73" s="409" t="str">
        <f>IF(Contents!$B$2=2,"Specific methane emissions","Удельные выбросы метана")</f>
        <v>Specific methane emissions</v>
      </c>
      <c r="C73" s="186" t="s">
        <v>0</v>
      </c>
      <c r="D73" s="168" t="s">
        <v>185</v>
      </c>
      <c r="E73" s="168" t="s">
        <v>185</v>
      </c>
      <c r="F73" s="168" t="s">
        <v>185</v>
      </c>
      <c r="G73" s="168" t="s">
        <v>185</v>
      </c>
      <c r="H73" s="168" t="s">
        <v>185</v>
      </c>
      <c r="I73" s="168" t="s">
        <v>185</v>
      </c>
      <c r="J73" s="168" t="s">
        <v>185</v>
      </c>
      <c r="K73" s="168" t="s">
        <v>185</v>
      </c>
      <c r="L73" s="237">
        <v>0.01</v>
      </c>
      <c r="M73" s="237">
        <v>0.01</v>
      </c>
      <c r="N73" s="849">
        <v>0.01</v>
      </c>
      <c r="O73" s="365"/>
      <c r="P73" s="558"/>
      <c r="Q73" s="38"/>
      <c r="R73" s="465"/>
      <c r="S73" s="465"/>
      <c r="T73" s="465"/>
      <c r="U73" s="590"/>
      <c r="V73" s="589"/>
      <c r="W73" s="558">
        <v>2</v>
      </c>
      <c r="X73" s="589"/>
      <c r="Y73" s="595"/>
      <c r="Z73" s="785"/>
      <c r="AA73" s="785"/>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row>
    <row r="74" spans="1:250" s="1" customFormat="1">
      <c r="A74" s="851"/>
      <c r="B74" s="188"/>
      <c r="C74" s="189"/>
      <c r="D74" s="543"/>
      <c r="E74" s="543"/>
      <c r="F74" s="543"/>
      <c r="G74" s="543"/>
      <c r="H74" s="543"/>
      <c r="I74" s="543"/>
      <c r="J74" s="543"/>
      <c r="K74" s="543"/>
      <c r="L74" s="543"/>
      <c r="M74" s="543"/>
      <c r="N74" s="543"/>
      <c r="O74" s="365"/>
      <c r="P74" s="558"/>
      <c r="Q74" s="38"/>
      <c r="R74" s="465"/>
      <c r="S74" s="465"/>
      <c r="T74" s="465"/>
      <c r="U74" s="590"/>
      <c r="V74" s="589"/>
      <c r="W74" s="558"/>
      <c r="X74" s="589"/>
      <c r="Y74" s="595"/>
      <c r="Z74" s="785"/>
      <c r="AA74" s="785"/>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row>
    <row r="75" spans="1:250" s="1" customFormat="1">
      <c r="A75" s="851"/>
      <c r="B75" s="25" t="str">
        <f>IF(Contents!$B$2=2,"Notes:","Примечания:")</f>
        <v>Notes:</v>
      </c>
      <c r="C75" s="189"/>
      <c r="D75" s="193"/>
      <c r="E75" s="193"/>
      <c r="F75" s="193"/>
      <c r="G75" s="193"/>
      <c r="H75" s="193"/>
      <c r="I75" s="29"/>
      <c r="J75" s="29"/>
      <c r="K75" s="29"/>
      <c r="L75" s="29"/>
      <c r="M75" s="29"/>
      <c r="N75" s="29"/>
      <c r="O75"/>
      <c r="P75" s="595"/>
      <c r="R75" s="590"/>
      <c r="S75" s="590"/>
      <c r="T75" s="590"/>
      <c r="U75" s="590"/>
      <c r="V75" s="558"/>
      <c r="W75" s="589"/>
      <c r="X75" s="558"/>
      <c r="Y75" s="558"/>
      <c r="Z75" s="785"/>
      <c r="AA75" s="785"/>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row>
    <row r="76" spans="1:250" s="1" customFormat="1">
      <c r="A76" s="851"/>
      <c r="B76" s="26" t="str">
        <f>IF(Contents!$B$2=2,C78,B78)</f>
        <v>The GHG Intensity index is calculated as the ratio of other indirect greenhouse gas emissions (Scope 3) from the use of sold products to the volume of sold products. To account for different types of fossil fuels (oil and natural gas), their consumption is converted to a single energy equivalent, i. e. a barrel of oil equivalent (boe).</v>
      </c>
      <c r="C76" s="189"/>
      <c r="D76" s="193"/>
      <c r="E76" s="193"/>
      <c r="F76" s="193"/>
      <c r="G76" s="193"/>
      <c r="H76" s="193"/>
      <c r="I76" s="29"/>
      <c r="J76" s="29"/>
      <c r="K76" s="29"/>
      <c r="L76" s="29"/>
      <c r="M76" s="29"/>
      <c r="N76" s="29"/>
      <c r="O76"/>
      <c r="P76" s="595"/>
      <c r="R76" s="590"/>
      <c r="S76" s="590"/>
      <c r="T76" s="590"/>
      <c r="U76" s="590"/>
      <c r="V76" s="558"/>
      <c r="W76" s="589"/>
      <c r="X76" s="558"/>
      <c r="Y76" s="558"/>
      <c r="Z76" s="785"/>
      <c r="AA76" s="785"/>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row>
    <row r="77" spans="1:250" s="1" customFormat="1">
      <c r="A77" s="851"/>
      <c r="B77" s="26" t="str">
        <f>IF(Contents!$B$2=2,"Total revenue in RR","Выручка (рубли)")</f>
        <v>Total revenue in RR</v>
      </c>
      <c r="C77" s="186" t="str">
        <f>IF(Contents!$B$2=2,"RR mln","млн руб.")</f>
        <v>RR mln</v>
      </c>
      <c r="D77" s="168" t="s">
        <v>185</v>
      </c>
      <c r="E77" s="168" t="s">
        <v>185</v>
      </c>
      <c r="F77" s="10">
        <v>583186</v>
      </c>
      <c r="G77" s="10">
        <v>831758</v>
      </c>
      <c r="H77" s="10">
        <v>862803</v>
      </c>
      <c r="I77" s="10">
        <v>711812</v>
      </c>
      <c r="J77" s="168">
        <v>1156724</v>
      </c>
      <c r="K77" s="168" t="s">
        <v>185</v>
      </c>
      <c r="L77" s="168">
        <v>1371508</v>
      </c>
      <c r="M77" s="168">
        <v>1545851</v>
      </c>
      <c r="N77" s="38">
        <v>1445593</v>
      </c>
      <c r="O77" s="781"/>
      <c r="P77" s="558"/>
      <c r="Q77" s="29"/>
      <c r="R77" s="590"/>
      <c r="S77" s="590"/>
      <c r="T77" s="590"/>
      <c r="U77" s="590"/>
      <c r="V77" s="589"/>
      <c r="W77" s="558"/>
      <c r="X77" s="589"/>
      <c r="Y77" s="595"/>
      <c r="Z77" s="785"/>
      <c r="AA77" s="785"/>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row>
    <row r="78" spans="1:250" ht="22.5" customHeight="1">
      <c r="B78" s="113" t="s">
        <v>61</v>
      </c>
      <c r="C78" s="227" t="s">
        <v>62</v>
      </c>
      <c r="D78" s="194"/>
      <c r="E78" s="194"/>
      <c r="F78" s="194"/>
      <c r="G78" s="194"/>
      <c r="H78" s="194"/>
      <c r="I78" s="195"/>
      <c r="J78" s="195"/>
      <c r="K78" s="195"/>
      <c r="L78" s="29"/>
      <c r="M78" s="29"/>
      <c r="N78" s="29"/>
      <c r="O78"/>
      <c r="P78" s="595"/>
      <c r="Q78" s="1"/>
      <c r="R78" s="590"/>
      <c r="S78" s="590"/>
      <c r="T78" s="590"/>
      <c r="U78" s="590"/>
      <c r="V78" s="558"/>
      <c r="X78" s="558"/>
      <c r="Y78" s="558"/>
    </row>
    <row r="79" spans="1:250" ht="25.5">
      <c r="B79" s="196" t="str">
        <f>IF(Contents!$B$2=2,"Reduction of greenhouse gas emissions","Сокращение выбросов парниковых газов")</f>
        <v>Reduction of greenhouse gas emissions</v>
      </c>
      <c r="C79" s="185"/>
      <c r="D79" s="549"/>
      <c r="E79" s="549"/>
      <c r="F79" s="549"/>
      <c r="G79" s="549"/>
      <c r="H79" s="549"/>
      <c r="I79" s="549"/>
      <c r="J79" s="549"/>
      <c r="K79" s="549"/>
      <c r="L79" s="549"/>
      <c r="M79" s="549"/>
      <c r="N79" s="549"/>
      <c r="O79"/>
      <c r="P79" s="595"/>
      <c r="Q79" s="1"/>
      <c r="R79" s="465" t="s">
        <v>63</v>
      </c>
      <c r="S79" s="590"/>
      <c r="T79" s="590"/>
      <c r="U79" s="465"/>
      <c r="V79" s="558"/>
      <c r="X79" s="558"/>
      <c r="Y79" s="558"/>
    </row>
    <row r="80" spans="1:250">
      <c r="B80" s="23" t="str">
        <f>IF(Contents!$B$2=2,"by mode","по направлениям")</f>
        <v>by mode</v>
      </c>
      <c r="C80" s="197"/>
      <c r="D80" s="550"/>
      <c r="E80" s="550"/>
      <c r="F80" s="550"/>
      <c r="G80" s="550"/>
      <c r="H80" s="550"/>
      <c r="I80" s="550"/>
      <c r="J80" s="550"/>
      <c r="K80" s="550"/>
      <c r="L80" s="550"/>
      <c r="M80" s="550"/>
      <c r="N80" s="550"/>
      <c r="O80"/>
      <c r="P80" s="595"/>
      <c r="Q80" s="1"/>
      <c r="R80" s="590"/>
      <c r="S80" s="590"/>
      <c r="T80" s="590"/>
      <c r="U80" s="465"/>
      <c r="V80" s="558"/>
      <c r="X80" s="558"/>
      <c r="Y80" s="558"/>
    </row>
    <row r="81" spans="1:250" s="1" customFormat="1" ht="38.25" customHeight="1">
      <c r="A81" s="851"/>
      <c r="B81" s="198" t="str">
        <f>IF(Contents!$B$2=2,"Use and development of mobile flowback and well testing units without gas emissions into the atmosphere","Использование и освоение передвижных комплексов для замера дебита скважин (ПКДС) без выброса газа в атмосферу")</f>
        <v>Use and development of mobile flowback and well testing units without gas emissions into the atmosphere</v>
      </c>
      <c r="C81" s="178" t="str">
        <f>IF(Contents!$B$2=2,"th. tons of CO₂ eq.","тыс. т CO₂-экв.")</f>
        <v>th. tons of CO₂ eq.</v>
      </c>
      <c r="D81" s="168" t="s">
        <v>185</v>
      </c>
      <c r="E81" s="168" t="s">
        <v>185</v>
      </c>
      <c r="F81" s="168" t="s">
        <v>185</v>
      </c>
      <c r="G81" s="168" t="s">
        <v>185</v>
      </c>
      <c r="H81" s="168" t="s">
        <v>185</v>
      </c>
      <c r="I81" s="168" t="s">
        <v>185</v>
      </c>
      <c r="J81" s="168" t="s">
        <v>185</v>
      </c>
      <c r="K81" s="168" t="s">
        <v>185</v>
      </c>
      <c r="L81" s="168" t="s">
        <v>185</v>
      </c>
      <c r="M81" s="168">
        <v>1493</v>
      </c>
      <c r="N81" s="199">
        <v>1349</v>
      </c>
      <c r="O81" s="869"/>
      <c r="P81" s="558" t="s">
        <v>237</v>
      </c>
      <c r="Q81" s="38"/>
      <c r="R81" s="590"/>
      <c r="S81" s="590"/>
      <c r="T81" s="590"/>
      <c r="U81" s="465"/>
      <c r="V81" s="558"/>
      <c r="W81" s="558">
        <v>2</v>
      </c>
      <c r="X81" s="558"/>
      <c r="Y81" s="558"/>
      <c r="Z81" s="785"/>
      <c r="AA81" s="785"/>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row>
    <row r="82" spans="1:250" s="1" customFormat="1" ht="38.25" customHeight="1">
      <c r="A82" s="851"/>
      <c r="B82" s="198" t="str">
        <f>IF(Contents!$B$2=2,"Cogeneration technologies","Технологии когенерации")</f>
        <v>Cogeneration technologies</v>
      </c>
      <c r="C82" s="178" t="str">
        <f>IF(Contents!$B$2=2,"th. tons of CO₂ eq.","тыс. т CO₂-экв.")</f>
        <v>th. tons of CO₂ eq.</v>
      </c>
      <c r="D82" s="168" t="s">
        <v>185</v>
      </c>
      <c r="E82" s="168" t="s">
        <v>185</v>
      </c>
      <c r="F82" s="168" t="s">
        <v>185</v>
      </c>
      <c r="G82" s="168" t="s">
        <v>185</v>
      </c>
      <c r="H82" s="168" t="s">
        <v>185</v>
      </c>
      <c r="I82" s="10">
        <v>102</v>
      </c>
      <c r="J82" s="10">
        <v>115</v>
      </c>
      <c r="K82" s="10">
        <v>120</v>
      </c>
      <c r="L82" s="10">
        <v>129</v>
      </c>
      <c r="M82" s="10">
        <v>141</v>
      </c>
      <c r="N82" s="200">
        <v>110</v>
      </c>
      <c r="O82" s="869"/>
      <c r="P82" s="558" t="s">
        <v>237</v>
      </c>
      <c r="Q82" s="38"/>
      <c r="R82" s="465" t="s">
        <v>63</v>
      </c>
      <c r="S82" s="590"/>
      <c r="T82" s="590"/>
      <c r="U82" s="465"/>
      <c r="V82" s="558"/>
      <c r="W82" s="558">
        <v>2</v>
      </c>
      <c r="X82" s="558"/>
      <c r="Y82" s="558"/>
      <c r="Z82" s="785"/>
      <c r="AA82" s="785"/>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row>
    <row r="83" spans="1:250" s="1" customFormat="1" ht="38.25" customHeight="1">
      <c r="A83" s="851"/>
      <c r="B83" s="198" t="str">
        <f>IF(Contents!$B$2=2,"Implementation of the energy saving program","Реализация программы энергосбережения")</f>
        <v>Implementation of the energy saving program</v>
      </c>
      <c r="C83" s="178" t="str">
        <f>IF(Contents!$B$2=2,"th. tons of CO₂ eq.","тыс. т CO₂-экв.")</f>
        <v>th. tons of CO₂ eq.</v>
      </c>
      <c r="D83" s="168" t="s">
        <v>185</v>
      </c>
      <c r="E83" s="168" t="s">
        <v>185</v>
      </c>
      <c r="F83" s="168" t="s">
        <v>185</v>
      </c>
      <c r="G83" s="168" t="s">
        <v>185</v>
      </c>
      <c r="H83" s="168" t="s">
        <v>185</v>
      </c>
      <c r="I83" s="168" t="s">
        <v>185</v>
      </c>
      <c r="J83" s="168" t="s">
        <v>185</v>
      </c>
      <c r="K83" s="10">
        <v>395.5</v>
      </c>
      <c r="L83" s="10">
        <v>459</v>
      </c>
      <c r="M83" s="10">
        <v>473</v>
      </c>
      <c r="N83" s="784">
        <v>1074</v>
      </c>
      <c r="O83" s="869"/>
      <c r="P83" s="558" t="s">
        <v>237</v>
      </c>
      <c r="Q83" s="38"/>
      <c r="R83" s="465" t="s">
        <v>63</v>
      </c>
      <c r="S83" s="590"/>
      <c r="T83" s="590"/>
      <c r="U83" s="465"/>
      <c r="V83" s="558"/>
      <c r="W83" s="558">
        <v>2</v>
      </c>
      <c r="X83" s="558"/>
      <c r="Y83" s="558"/>
      <c r="Z83" s="785"/>
      <c r="AA83" s="785"/>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row>
    <row r="84" spans="1:250" s="1" customFormat="1" ht="38.25" customHeight="1">
      <c r="A84" s="851"/>
      <c r="B84" s="198" t="str">
        <f>IF(Contents!$B$2=2,"Substitution of standard generation by RES","Замещение стандартной генерации на ВИЭ")</f>
        <v>Substitution of standard generation by RES</v>
      </c>
      <c r="C84" s="178" t="str">
        <f>IF(Contents!$B$2=2,"th. tons of CO₂ eq.","тыс. т CO₂-экв.")</f>
        <v>th. tons of CO₂ eq.</v>
      </c>
      <c r="D84" s="168" t="s">
        <v>185</v>
      </c>
      <c r="E84" s="168" t="s">
        <v>185</v>
      </c>
      <c r="F84" s="168" t="s">
        <v>185</v>
      </c>
      <c r="G84" s="168" t="s">
        <v>185</v>
      </c>
      <c r="H84" s="168" t="s">
        <v>185</v>
      </c>
      <c r="I84" s="168" t="s">
        <v>185</v>
      </c>
      <c r="J84" s="201">
        <v>0.2</v>
      </c>
      <c r="K84" s="201">
        <v>0.3</v>
      </c>
      <c r="L84" s="191">
        <v>8</v>
      </c>
      <c r="M84" s="191">
        <v>14</v>
      </c>
      <c r="N84" s="784" t="s">
        <v>136</v>
      </c>
      <c r="O84" s="869"/>
      <c r="P84" s="558" t="s">
        <v>237</v>
      </c>
      <c r="Q84" s="38"/>
      <c r="R84" s="465" t="s">
        <v>63</v>
      </c>
      <c r="S84" s="590"/>
      <c r="T84" s="590"/>
      <c r="U84" s="465"/>
      <c r="V84" s="558"/>
      <c r="W84" s="558">
        <v>2</v>
      </c>
      <c r="X84" s="558"/>
      <c r="Y84" s="558"/>
      <c r="Z84" s="785"/>
      <c r="AA84" s="785"/>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row>
    <row r="85" spans="1:250" s="1" customFormat="1" ht="50.25" customHeight="1">
      <c r="A85" s="851"/>
      <c r="B85" s="198" t="str">
        <f>IF(Contents!$B$2=2,"Estimated reduction of greenhouse gas emissions by NOVATEK consumers as a result of switching to LNG as a gas engine fuel","Расчетное сокращение выбросов парниковых газов потребителями «НОВАТЭКа» в результате перехода на СПГ в качестве газомоторного топлива")</f>
        <v>Estimated reduction of greenhouse gas emissions by NOVATEK consumers as a result of switching to LNG as a gas engine fuel</v>
      </c>
      <c r="C85" s="178" t="str">
        <f>IF(Contents!$B$2=2,"th. tons of CO₂ eq.","тыс. т CO₂-экв.")</f>
        <v>th. tons of CO₂ eq.</v>
      </c>
      <c r="D85" s="168" t="s">
        <v>185</v>
      </c>
      <c r="E85" s="168" t="s">
        <v>185</v>
      </c>
      <c r="F85" s="168" t="s">
        <v>185</v>
      </c>
      <c r="G85" s="168" t="s">
        <v>185</v>
      </c>
      <c r="H85" s="168" t="s">
        <v>185</v>
      </c>
      <c r="I85" s="168" t="s">
        <v>185</v>
      </c>
      <c r="J85" s="168" t="s">
        <v>185</v>
      </c>
      <c r="K85" s="191">
        <v>27</v>
      </c>
      <c r="L85" s="191">
        <v>47</v>
      </c>
      <c r="M85" s="191">
        <v>36</v>
      </c>
      <c r="N85" s="784">
        <v>31</v>
      </c>
      <c r="O85" s="869"/>
      <c r="P85" s="558"/>
      <c r="Q85" s="38"/>
      <c r="R85" s="590"/>
      <c r="S85" s="590"/>
      <c r="T85" s="590"/>
      <c r="U85" s="465"/>
      <c r="V85" s="558"/>
      <c r="W85" s="558">
        <v>2</v>
      </c>
      <c r="X85" s="558"/>
      <c r="Y85" s="558"/>
      <c r="Z85" s="785"/>
      <c r="AA85" s="785"/>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row>
    <row r="86" spans="1:250" s="1" customFormat="1" ht="38.25" customHeight="1">
      <c r="A86" s="851"/>
      <c r="B86" s="198" t="str">
        <f>IF(Contents!$B$2=2,"Prevention of emissions by increasing the rational use of APG","Предотвращение выбросов за счет повышения рационального использования ПНГ")</f>
        <v>Prevention of emissions by increasing the rational use of APG</v>
      </c>
      <c r="C86" s="178" t="str">
        <f>IF(Contents!$B$2=2,"th. tons of CO₂ eq.","тыс. т CO₂-экв.")</f>
        <v>th. tons of CO₂ eq.</v>
      </c>
      <c r="D86" s="168" t="s">
        <v>185</v>
      </c>
      <c r="E86" s="168" t="s">
        <v>185</v>
      </c>
      <c r="F86" s="168" t="s">
        <v>185</v>
      </c>
      <c r="G86" s="168" t="s">
        <v>185</v>
      </c>
      <c r="H86" s="168" t="s">
        <v>185</v>
      </c>
      <c r="I86" s="168" t="s">
        <v>185</v>
      </c>
      <c r="J86" s="168" t="s">
        <v>185</v>
      </c>
      <c r="K86" s="168" t="s">
        <v>185</v>
      </c>
      <c r="L86" s="168" t="s">
        <v>185</v>
      </c>
      <c r="M86" s="168">
        <v>42</v>
      </c>
      <c r="N86" s="784">
        <v>2500</v>
      </c>
      <c r="O86" s="869"/>
      <c r="P86" s="558" t="s">
        <v>183</v>
      </c>
      <c r="Q86" s="38"/>
      <c r="R86" s="590"/>
      <c r="S86" s="590"/>
      <c r="T86" s="590"/>
      <c r="U86" s="465"/>
      <c r="V86" s="558"/>
      <c r="W86" s="558">
        <v>2</v>
      </c>
      <c r="X86" s="558"/>
      <c r="Y86" s="558"/>
      <c r="Z86" s="785"/>
      <c r="AA86" s="785"/>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row>
    <row r="87" spans="1:250" s="1" customFormat="1" ht="38.25" customHeight="1">
      <c r="A87" s="851"/>
      <c r="B87" s="647" t="str">
        <f>IF(Contents!$B$2=2,"Rational use of APG","Рациональное использование ПНГ")</f>
        <v>Rational use of APG</v>
      </c>
      <c r="C87" s="178" t="s">
        <v>0</v>
      </c>
      <c r="D87" s="168" t="s">
        <v>185</v>
      </c>
      <c r="E87" s="168" t="s">
        <v>185</v>
      </c>
      <c r="F87" s="168" t="s">
        <v>185</v>
      </c>
      <c r="G87" s="168" t="s">
        <v>185</v>
      </c>
      <c r="H87" s="240">
        <v>95</v>
      </c>
      <c r="I87" s="240">
        <v>96.2</v>
      </c>
      <c r="J87" s="201">
        <v>96.7</v>
      </c>
      <c r="K87" s="201">
        <v>98</v>
      </c>
      <c r="L87" s="201">
        <v>98.4</v>
      </c>
      <c r="M87" s="201">
        <v>98.6</v>
      </c>
      <c r="N87" s="28">
        <v>98.6</v>
      </c>
      <c r="O87" s="869"/>
      <c r="P87" s="558" t="s">
        <v>183</v>
      </c>
      <c r="Q87" s="38"/>
      <c r="R87" s="590"/>
      <c r="S87" s="590"/>
      <c r="T87" s="590"/>
      <c r="U87" s="465"/>
      <c r="V87" s="558"/>
      <c r="W87" s="558">
        <v>2</v>
      </c>
      <c r="X87" s="558"/>
      <c r="Y87" s="558"/>
      <c r="Z87" s="785"/>
      <c r="AA87" s="785"/>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row>
    <row r="88" spans="1:250" s="1" customFormat="1">
      <c r="A88" s="851"/>
      <c r="D88" s="543"/>
      <c r="E88" s="543"/>
      <c r="F88" s="543"/>
      <c r="G88" s="543"/>
      <c r="H88" s="543"/>
      <c r="I88" s="543"/>
      <c r="J88" s="543"/>
      <c r="K88" s="543"/>
      <c r="L88" s="543"/>
      <c r="M88" s="543"/>
      <c r="N88" s="543"/>
      <c r="O88" s="781"/>
      <c r="P88" s="589"/>
      <c r="Q88" s="29"/>
      <c r="R88" s="590"/>
      <c r="S88" s="590"/>
      <c r="T88" s="590"/>
      <c r="U88" s="590"/>
      <c r="V88" s="589"/>
      <c r="W88" s="589"/>
      <c r="X88" s="589"/>
      <c r="Y88" s="595"/>
      <c r="Z88" s="785"/>
      <c r="AA88" s="785"/>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row>
    <row r="89" spans="1:250">
      <c r="B89" s="196" t="str">
        <f>IF(Contents!$B$2=2,"Energy consumption","Потребление энергии")</f>
        <v>Energy consumption</v>
      </c>
      <c r="C89" s="202"/>
      <c r="D89" s="551"/>
      <c r="E89" s="551"/>
      <c r="F89" s="551"/>
      <c r="G89" s="551"/>
      <c r="H89" s="551"/>
      <c r="I89" s="551"/>
      <c r="J89" s="551"/>
      <c r="K89" s="551"/>
      <c r="L89" s="551"/>
      <c r="M89" s="551"/>
      <c r="N89" s="551"/>
      <c r="O89" s="781"/>
      <c r="P89" s="558"/>
      <c r="Q89" s="29"/>
      <c r="R89" s="590"/>
      <c r="S89" s="590"/>
      <c r="T89" s="590"/>
      <c r="U89" s="590"/>
      <c r="W89" s="558"/>
      <c r="Y89" s="595"/>
    </row>
    <row r="90" spans="1:250" s="1" customFormat="1" ht="51.75" customHeight="1">
      <c r="A90" s="851"/>
      <c r="B90" s="203" t="str">
        <f>IF(Contents!$B$2=2,"Total consumption of heat and electricity","Суммарное потребление тепловой и электрической энергии")</f>
        <v>Total consumption of heat and electricity</v>
      </c>
      <c r="C90" s="12" t="str">
        <f>IF(Contents!$B$2=2,"th. GJ","тыс. ГДж")</f>
        <v>th. GJ</v>
      </c>
      <c r="D90" s="101">
        <v>3864</v>
      </c>
      <c r="E90" s="101">
        <v>4200</v>
      </c>
      <c r="F90" s="101">
        <v>4215</v>
      </c>
      <c r="G90" s="101">
        <v>10377</v>
      </c>
      <c r="H90" s="101">
        <v>12907</v>
      </c>
      <c r="I90" s="101">
        <v>13484</v>
      </c>
      <c r="J90" s="101">
        <v>15474</v>
      </c>
      <c r="K90" s="101">
        <v>16685</v>
      </c>
      <c r="L90" s="101">
        <v>12257</v>
      </c>
      <c r="M90" s="101">
        <v>13141</v>
      </c>
      <c r="N90" s="204">
        <v>14151</v>
      </c>
      <c r="O90" s="781"/>
      <c r="P90" s="558" t="str">
        <f>IF(Contents!$B$2=2,"Yes","Да")</f>
        <v>Yes</v>
      </c>
      <c r="Q90" s="29"/>
      <c r="R90" s="465" t="s">
        <v>64</v>
      </c>
      <c r="S90" s="493"/>
      <c r="T90" s="465" t="s">
        <v>65</v>
      </c>
      <c r="U90" s="273" t="str">
        <f>IF(Contents!$B$2=2,"PBCS 13","СОКБ 13")</f>
        <v>PBCS 13</v>
      </c>
      <c r="V90" s="589"/>
      <c r="W90" s="558">
        <v>2</v>
      </c>
      <c r="X90" s="589"/>
      <c r="Y90" s="595"/>
      <c r="Z90" s="785"/>
      <c r="AA90" s="785"/>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row>
    <row r="91" spans="1:250" ht="18.75" customHeight="1">
      <c r="B91" s="23" t="str">
        <f>IF(Contents!$B$2=2,"by type","по видам")</f>
        <v>by type</v>
      </c>
      <c r="C91" s="13"/>
      <c r="D91" s="550"/>
      <c r="E91" s="550"/>
      <c r="F91" s="550"/>
      <c r="G91" s="550"/>
      <c r="H91" s="550"/>
      <c r="I91" s="550"/>
      <c r="J91" s="550"/>
      <c r="K91" s="550"/>
      <c r="L91" s="550"/>
      <c r="M91" s="550"/>
      <c r="N91" s="550"/>
      <c r="O91"/>
      <c r="P91" s="595"/>
      <c r="Q91" s="29"/>
      <c r="R91" s="590"/>
      <c r="S91" s="590"/>
      <c r="T91" s="590"/>
      <c r="U91" s="273"/>
      <c r="V91" s="558"/>
      <c r="W91" s="558"/>
      <c r="X91" s="558"/>
      <c r="Y91" s="558"/>
    </row>
    <row r="92" spans="1:250" s="1" customFormat="1" ht="25.5" customHeight="1">
      <c r="A92" s="851"/>
      <c r="B92" s="177" t="str">
        <f>IF(Contents!$B$2=2,"Electricity","Электроэнергия")</f>
        <v>Electricity</v>
      </c>
      <c r="C92" s="12" t="str">
        <f>IF(Contents!$B$2=2,"th. GJ","тыс. ГДж")</f>
        <v>th. GJ</v>
      </c>
      <c r="D92" s="205">
        <v>2118</v>
      </c>
      <c r="E92" s="205">
        <v>2370</v>
      </c>
      <c r="F92" s="205">
        <v>2433</v>
      </c>
      <c r="G92" s="205">
        <v>6745</v>
      </c>
      <c r="H92" s="205">
        <v>9654</v>
      </c>
      <c r="I92" s="205">
        <v>10539</v>
      </c>
      <c r="J92" s="205">
        <v>11961</v>
      </c>
      <c r="K92" s="205">
        <v>13128</v>
      </c>
      <c r="L92" s="101">
        <v>9249</v>
      </c>
      <c r="M92" s="101">
        <v>9901</v>
      </c>
      <c r="N92" s="206">
        <v>10311</v>
      </c>
      <c r="O92" s="781"/>
      <c r="P92" s="558" t="str">
        <f>IF(Contents!$B$2=2,"Yes","Да")</f>
        <v>Yes</v>
      </c>
      <c r="Q92" s="29"/>
      <c r="R92" s="465" t="s">
        <v>64</v>
      </c>
      <c r="S92" s="493"/>
      <c r="T92" s="465" t="s">
        <v>65</v>
      </c>
      <c r="U92" s="273" t="str">
        <f>IF(Contents!$B$2=2,"PBCS 13","СОКБ 13")</f>
        <v>PBCS 13</v>
      </c>
      <c r="V92" s="589"/>
      <c r="W92" s="558">
        <v>2</v>
      </c>
      <c r="X92" s="589"/>
      <c r="Y92" s="595"/>
      <c r="Z92" s="785"/>
      <c r="AA92" s="785"/>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row>
    <row r="93" spans="1:250" s="1" customFormat="1" ht="18.75" customHeight="1">
      <c r="A93" s="847"/>
      <c r="B93" s="207" t="str">
        <f>IF(Contents!$B$2=2,"Purchased electricity, including","Закупленная электроэнергия, в т.ч.")</f>
        <v>Purchased electricity, including</v>
      </c>
      <c r="C93" s="12" t="str">
        <f>IF(Contents!$B$2=2,"th. GJ","тыс. ГДж")</f>
        <v>th. GJ</v>
      </c>
      <c r="D93" s="168" t="s">
        <v>185</v>
      </c>
      <c r="E93" s="168" t="s">
        <v>185</v>
      </c>
      <c r="F93" s="168" t="s">
        <v>185</v>
      </c>
      <c r="G93" s="168" t="s">
        <v>185</v>
      </c>
      <c r="H93" s="205">
        <v>1440</v>
      </c>
      <c r="I93" s="208">
        <v>1793</v>
      </c>
      <c r="J93" s="208">
        <v>2325</v>
      </c>
      <c r="K93" s="208">
        <v>2606</v>
      </c>
      <c r="L93" s="208">
        <v>2640</v>
      </c>
      <c r="M93" s="208">
        <v>2630</v>
      </c>
      <c r="N93" s="209">
        <v>2430</v>
      </c>
      <c r="O93" s="781"/>
      <c r="P93" s="558" t="str">
        <f>IF(Contents!$B$2=2,"Yes","Да")</f>
        <v>Yes</v>
      </c>
      <c r="Q93" s="29"/>
      <c r="R93" s="590"/>
      <c r="S93" s="590"/>
      <c r="T93" s="590"/>
      <c r="U93" s="590"/>
      <c r="V93" s="589"/>
      <c r="W93" s="558">
        <v>2</v>
      </c>
      <c r="X93" s="589"/>
      <c r="Y93" s="595"/>
      <c r="Z93" s="785"/>
      <c r="AA93" s="785"/>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row>
    <row r="94" spans="1:250" s="1" customFormat="1" ht="37.5" customHeight="1">
      <c r="A94" s="847"/>
      <c r="B94" s="210" t="str">
        <f>IF(Contents!$B$2=2,"Low-carbon energy purchased with acquisition of generation attributes","Низкоуглеродная энергия, закупленная с приобретением атрибутов генерации")</f>
        <v>Low-carbon energy purchased with acquisition of generation attributes</v>
      </c>
      <c r="C94" s="12" t="str">
        <f>IF(Contents!$B$2=2,"th. GJ","тыс. ГДж")</f>
        <v>th. GJ</v>
      </c>
      <c r="D94" s="168" t="s">
        <v>185</v>
      </c>
      <c r="E94" s="168" t="s">
        <v>185</v>
      </c>
      <c r="F94" s="168" t="s">
        <v>185</v>
      </c>
      <c r="G94" s="168" t="s">
        <v>185</v>
      </c>
      <c r="H94" s="168" t="s">
        <v>185</v>
      </c>
      <c r="I94" s="168" t="s">
        <v>185</v>
      </c>
      <c r="J94" s="168" t="s">
        <v>185</v>
      </c>
      <c r="K94" s="168">
        <v>0</v>
      </c>
      <c r="L94" s="168">
        <v>0</v>
      </c>
      <c r="M94" s="168">
        <v>256</v>
      </c>
      <c r="N94" s="209" t="s">
        <v>136</v>
      </c>
      <c r="O94" s="781"/>
      <c r="P94" s="558" t="str">
        <f>IF(Contents!$B$2=2,"Yes","Да")</f>
        <v>Yes</v>
      </c>
      <c r="Q94" s="29"/>
      <c r="R94" s="590"/>
      <c r="S94" s="590"/>
      <c r="T94" s="590"/>
      <c r="U94" s="590"/>
      <c r="V94" s="589"/>
      <c r="W94" s="558">
        <v>2</v>
      </c>
      <c r="X94" s="589"/>
      <c r="Y94" s="595"/>
      <c r="Z94" s="785"/>
      <c r="AA94" s="785"/>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row>
    <row r="95" spans="1:250" s="1" customFormat="1" ht="37.5" customHeight="1">
      <c r="A95" s="847"/>
      <c r="B95" s="210" t="str">
        <f>IF(Contents!$B$2=2,"Energy from RES purchased under the scheme of free bilateral purchase agreements (BPAs)","Энергия из ВИЭ, закупленная по схеме свободных двусторонних договоров купли-продажи (СДД)")</f>
        <v>Energy from RES purchased under the scheme of free bilateral purchase agreements (BPAs)</v>
      </c>
      <c r="C95" s="12" t="str">
        <f>IF(Contents!$B$2=2,"th. GJ","тыс. ГДж")</f>
        <v>th. GJ</v>
      </c>
      <c r="D95" s="168" t="s">
        <v>185</v>
      </c>
      <c r="E95" s="168" t="s">
        <v>185</v>
      </c>
      <c r="F95" s="168" t="s">
        <v>185</v>
      </c>
      <c r="G95" s="168" t="s">
        <v>185</v>
      </c>
      <c r="H95" s="168" t="s">
        <v>185</v>
      </c>
      <c r="I95" s="168" t="s">
        <v>185</v>
      </c>
      <c r="J95" s="168" t="s">
        <v>185</v>
      </c>
      <c r="K95" s="208">
        <v>83</v>
      </c>
      <c r="L95" s="208">
        <v>228</v>
      </c>
      <c r="M95" s="208">
        <v>0</v>
      </c>
      <c r="N95" s="199" t="s">
        <v>136</v>
      </c>
      <c r="O95" s="781"/>
      <c r="P95" s="558" t="str">
        <f>IF(Contents!$B$2=2,"Yes","Да")</f>
        <v>Yes</v>
      </c>
      <c r="Q95" s="29"/>
      <c r="R95" s="590" t="s">
        <v>52</v>
      </c>
      <c r="S95" s="590"/>
      <c r="T95" s="590"/>
      <c r="U95" s="590"/>
      <c r="V95" s="589"/>
      <c r="W95" s="558">
        <v>2</v>
      </c>
      <c r="X95" s="589"/>
      <c r="Y95" s="595"/>
      <c r="Z95" s="785"/>
      <c r="AA95" s="785"/>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row>
    <row r="96" spans="1:250" s="1" customFormat="1" ht="37.5" customHeight="1">
      <c r="A96" s="847"/>
      <c r="B96" s="210" t="str">
        <f>IF(Contents!$B$2=2,"Energy purchased under the scheme of free bilateral purchase agreements (BPAs)","Энергия, закупленная по схеме свободных двусторонних договоров купли-продажи (СДД)")</f>
        <v>Energy purchased under the scheme of free bilateral purchase agreements (BPAs)</v>
      </c>
      <c r="C96" s="12" t="str">
        <f>IF(Contents!$B$2=2,"th. GJ","тыс. ГДж")</f>
        <v>th. GJ</v>
      </c>
      <c r="D96" s="168" t="s">
        <v>185</v>
      </c>
      <c r="E96" s="168" t="s">
        <v>185</v>
      </c>
      <c r="F96" s="168" t="s">
        <v>185</v>
      </c>
      <c r="G96" s="168" t="s">
        <v>185</v>
      </c>
      <c r="H96" s="168" t="s">
        <v>185</v>
      </c>
      <c r="I96" s="168" t="s">
        <v>185</v>
      </c>
      <c r="J96" s="168" t="s">
        <v>185</v>
      </c>
      <c r="K96" s="168">
        <v>0</v>
      </c>
      <c r="L96" s="168">
        <v>0</v>
      </c>
      <c r="M96" s="168">
        <v>288</v>
      </c>
      <c r="N96" s="200" t="s">
        <v>136</v>
      </c>
      <c r="O96" s="781"/>
      <c r="P96" s="558" t="str">
        <f>IF(Contents!$B$2=2,"Yes","Да")</f>
        <v>Yes</v>
      </c>
      <c r="Q96" s="29"/>
      <c r="R96" s="590"/>
      <c r="S96" s="590"/>
      <c r="T96" s="590"/>
      <c r="U96" s="590"/>
      <c r="V96" s="589"/>
      <c r="W96" s="558">
        <v>2</v>
      </c>
      <c r="X96" s="589"/>
      <c r="Y96" s="595"/>
      <c r="Z96" s="785"/>
      <c r="AA96" s="785"/>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row>
    <row r="97" spans="1:250" s="1" customFormat="1" ht="37.5" customHeight="1">
      <c r="A97" s="847"/>
      <c r="B97" s="211" t="str">
        <f>IF(Contents!$B$2=2,"Supporting electricity generation from non-renewable energy sources","Обеспечивающая генерация электроэнергии из невозобновляемых источников энергии")</f>
        <v>Supporting electricity generation from non-renewable energy sources</v>
      </c>
      <c r="C97" s="12" t="str">
        <f>IF(Contents!$B$2=2,"th. GJ","тыс. ГДж")</f>
        <v>th. GJ</v>
      </c>
      <c r="D97" s="168" t="s">
        <v>185</v>
      </c>
      <c r="E97" s="168" t="s">
        <v>185</v>
      </c>
      <c r="F97" s="168" t="s">
        <v>185</v>
      </c>
      <c r="G97" s="168" t="s">
        <v>185</v>
      </c>
      <c r="H97" s="205">
        <v>8280</v>
      </c>
      <c r="I97" s="208">
        <v>8837</v>
      </c>
      <c r="J97" s="208">
        <v>9733</v>
      </c>
      <c r="K97" s="208">
        <v>10629</v>
      </c>
      <c r="L97" s="208">
        <v>6660</v>
      </c>
      <c r="M97" s="208">
        <v>7320</v>
      </c>
      <c r="N97" s="927">
        <v>7940</v>
      </c>
      <c r="O97" s="781"/>
      <c r="P97" s="558" t="str">
        <f>IF(Contents!$B$2=2,"Yes","Да")</f>
        <v>Yes</v>
      </c>
      <c r="Q97" s="29"/>
      <c r="R97" s="788"/>
      <c r="S97" s="590"/>
      <c r="T97" s="590"/>
      <c r="U97" s="590"/>
      <c r="V97" s="589"/>
      <c r="W97" s="558">
        <v>2</v>
      </c>
      <c r="X97" s="589"/>
      <c r="Y97" s="595"/>
      <c r="Z97" s="785"/>
      <c r="AA97" s="785"/>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row>
    <row r="98" spans="1:250" s="1" customFormat="1" ht="30" customHeight="1">
      <c r="A98" s="847"/>
      <c r="B98" s="211" t="str">
        <f>IF(Contents!$B$2=2,"Supporting electricity generation from RES","Обеспечивающая генерация электроэнергии из ВИЭ")</f>
        <v>Supporting electricity generation from RES</v>
      </c>
      <c r="C98" s="12" t="str">
        <f>IF(Contents!$B$2=2,"th. GJ","тыс. ГДж")</f>
        <v>th. GJ</v>
      </c>
      <c r="D98" s="168" t="s">
        <v>185</v>
      </c>
      <c r="E98" s="168" t="s">
        <v>185</v>
      </c>
      <c r="F98" s="168" t="s">
        <v>185</v>
      </c>
      <c r="G98" s="168" t="s">
        <v>185</v>
      </c>
      <c r="H98" s="212">
        <v>1</v>
      </c>
      <c r="I98" s="212">
        <v>1</v>
      </c>
      <c r="J98" s="212">
        <v>1</v>
      </c>
      <c r="K98" s="212">
        <v>1</v>
      </c>
      <c r="L98" s="208">
        <v>1</v>
      </c>
      <c r="M98" s="208">
        <v>1</v>
      </c>
      <c r="N98" s="27">
        <v>1</v>
      </c>
      <c r="O98" s="781"/>
      <c r="P98" s="558" t="str">
        <f>IF(Contents!$B$2=2,"Yes","Да")</f>
        <v>Yes</v>
      </c>
      <c r="Q98" s="29"/>
      <c r="R98" s="590"/>
      <c r="S98" s="590"/>
      <c r="T98" s="590"/>
      <c r="U98" s="590"/>
      <c r="V98" s="589"/>
      <c r="W98" s="558">
        <v>2</v>
      </c>
      <c r="X98" s="589"/>
      <c r="Y98" s="595"/>
      <c r="Z98" s="785"/>
      <c r="AA98" s="785"/>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row>
    <row r="99" spans="1:250" s="1" customFormat="1" ht="18.75" customHeight="1">
      <c r="A99" s="847"/>
      <c r="B99" s="207" t="str">
        <f>IF(Contents!$B$2=2,"Sale of electiricity","Продажа электроэнергии")</f>
        <v>Sale of electiricity</v>
      </c>
      <c r="C99" s="12" t="str">
        <f>IF(Contents!$B$2=2,"th. GJ","тыс. ГДж")</f>
        <v>th. GJ</v>
      </c>
      <c r="D99" s="168" t="s">
        <v>185</v>
      </c>
      <c r="E99" s="168" t="s">
        <v>185</v>
      </c>
      <c r="F99" s="168" t="s">
        <v>185</v>
      </c>
      <c r="G99" s="168" t="s">
        <v>185</v>
      </c>
      <c r="H99" s="205">
        <v>67</v>
      </c>
      <c r="I99" s="208">
        <v>92</v>
      </c>
      <c r="J99" s="208">
        <v>98</v>
      </c>
      <c r="K99" s="208">
        <v>108</v>
      </c>
      <c r="L99" s="208">
        <v>52</v>
      </c>
      <c r="M99" s="208">
        <v>50</v>
      </c>
      <c r="N99" s="200">
        <v>60</v>
      </c>
      <c r="O99" s="781"/>
      <c r="P99" s="558" t="str">
        <f>IF(Contents!$B$2=2,"Yes","Да")</f>
        <v>Yes</v>
      </c>
      <c r="Q99" s="29"/>
      <c r="R99" s="590"/>
      <c r="S99" s="590"/>
      <c r="T99" s="590"/>
      <c r="U99" s="590"/>
      <c r="V99" s="589"/>
      <c r="W99" s="558">
        <v>2</v>
      </c>
      <c r="X99" s="589"/>
      <c r="Y99" s="595"/>
      <c r="Z99" s="785"/>
      <c r="AA99" s="785"/>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row>
    <row r="100" spans="1:250" s="1" customFormat="1" ht="25.5" customHeight="1">
      <c r="A100" s="847"/>
      <c r="B100" s="177" t="str">
        <f>IF(Contents!$B$2=2,"Heat","Тепловая энергия")</f>
        <v>Heat</v>
      </c>
      <c r="C100" s="12" t="str">
        <f>IF(Contents!$B$2=2,"th. GJ","тыс. ГДж")</f>
        <v>th. GJ</v>
      </c>
      <c r="D100" s="205">
        <v>1746</v>
      </c>
      <c r="E100" s="205">
        <v>1830</v>
      </c>
      <c r="F100" s="205">
        <v>1782</v>
      </c>
      <c r="G100" s="205">
        <v>3632</v>
      </c>
      <c r="H100" s="205">
        <v>3253</v>
      </c>
      <c r="I100" s="205">
        <v>2945</v>
      </c>
      <c r="J100" s="205">
        <v>3513</v>
      </c>
      <c r="K100" s="205">
        <v>3557</v>
      </c>
      <c r="L100" s="205">
        <v>3008</v>
      </c>
      <c r="M100" s="205">
        <v>3240</v>
      </c>
      <c r="N100" s="206">
        <v>3840</v>
      </c>
      <c r="O100" s="781"/>
      <c r="P100" s="558" t="str">
        <f>IF(Contents!$B$2=2,"Yes","Да")</f>
        <v>Yes</v>
      </c>
      <c r="Q100" s="29"/>
      <c r="R100" s="465" t="s">
        <v>64</v>
      </c>
      <c r="S100" s="493"/>
      <c r="T100" s="465" t="s">
        <v>65</v>
      </c>
      <c r="U100" s="273" t="str">
        <f>IF(Contents!$B$2=2,"PBCS 13","СОКБ 13")</f>
        <v>PBCS 13</v>
      </c>
      <c r="V100" s="589"/>
      <c r="W100" s="558">
        <v>2</v>
      </c>
      <c r="X100" s="589"/>
      <c r="Y100" s="595"/>
      <c r="Z100" s="785"/>
      <c r="AA100" s="785"/>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row>
    <row r="101" spans="1:250" s="1" customFormat="1" ht="37.5" customHeight="1">
      <c r="A101" s="847"/>
      <c r="B101" s="211" t="str">
        <f>IF(Contents!$B$2=2,"Supporting generation (production) of heat energy from non-renewable energy sources","Обеспечивающая генерация (производство) тепловой энергии из невозобновляемых источников энергии")</f>
        <v>Supporting generation (production) of heat energy from non-renewable energy sources</v>
      </c>
      <c r="C101" s="12" t="str">
        <f>IF(Contents!$B$2=2,"th. GJ","тыс. ГДж")</f>
        <v>th. GJ</v>
      </c>
      <c r="D101" s="168" t="s">
        <v>185</v>
      </c>
      <c r="E101" s="168" t="s">
        <v>185</v>
      </c>
      <c r="F101" s="168" t="s">
        <v>185</v>
      </c>
      <c r="G101" s="168" t="s">
        <v>185</v>
      </c>
      <c r="H101" s="205">
        <v>976</v>
      </c>
      <c r="I101" s="205">
        <v>933</v>
      </c>
      <c r="J101" s="208">
        <v>1104</v>
      </c>
      <c r="K101" s="208">
        <v>990</v>
      </c>
      <c r="L101" s="208">
        <v>982</v>
      </c>
      <c r="M101" s="208">
        <v>930</v>
      </c>
      <c r="N101" s="209">
        <v>1500</v>
      </c>
      <c r="O101" s="781"/>
      <c r="P101" s="558" t="str">
        <f>IF(Contents!$B$2=2,"Yes","Да")</f>
        <v>Yes</v>
      </c>
      <c r="Q101" s="29"/>
      <c r="R101" s="590"/>
      <c r="S101" s="590"/>
      <c r="T101" s="590"/>
      <c r="U101" s="590"/>
      <c r="V101" s="589"/>
      <c r="W101" s="558">
        <v>2</v>
      </c>
      <c r="X101" s="589"/>
      <c r="Y101" s="595"/>
      <c r="Z101" s="785"/>
      <c r="AA101" s="785"/>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row>
    <row r="102" spans="1:250" s="1" customFormat="1" ht="37.5" customHeight="1">
      <c r="A102" s="847"/>
      <c r="B102" s="211" t="str">
        <f>IF(Contents!$B$2=2,"Supporting generation (production) of heat energy from secondary energy resources","Обеспечивающая генерация (производство) тепловой энергии из вторичных энергоресурсов")</f>
        <v>Supporting generation (production) of heat energy from secondary energy resources</v>
      </c>
      <c r="C102" s="12" t="str">
        <f>IF(Contents!$B$2=2,"th. GJ","тыс. ГДж")</f>
        <v>th. GJ</v>
      </c>
      <c r="D102" s="168" t="s">
        <v>185</v>
      </c>
      <c r="E102" s="168" t="s">
        <v>185</v>
      </c>
      <c r="F102" s="168" t="s">
        <v>185</v>
      </c>
      <c r="G102" s="168" t="s">
        <v>185</v>
      </c>
      <c r="H102" s="205">
        <v>2277</v>
      </c>
      <c r="I102" s="208">
        <v>2012</v>
      </c>
      <c r="J102" s="208">
        <v>2409</v>
      </c>
      <c r="K102" s="208">
        <v>2490</v>
      </c>
      <c r="L102" s="208">
        <v>1996</v>
      </c>
      <c r="M102" s="208">
        <v>2250</v>
      </c>
      <c r="N102" s="209">
        <v>2280</v>
      </c>
      <c r="O102" s="781"/>
      <c r="P102" s="558" t="str">
        <f>IF(Contents!$B$2=2,"Yes","Да")</f>
        <v>Yes</v>
      </c>
      <c r="Q102" s="29"/>
      <c r="R102" s="590"/>
      <c r="S102" s="590"/>
      <c r="T102" s="590"/>
      <c r="U102" s="590"/>
      <c r="V102" s="589"/>
      <c r="W102" s="558">
        <v>2</v>
      </c>
      <c r="X102" s="589"/>
      <c r="Y102" s="595"/>
      <c r="Z102" s="785"/>
      <c r="AA102" s="785"/>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row>
    <row r="103" spans="1:250" s="1" customFormat="1" ht="18.75" customHeight="1">
      <c r="A103" s="847"/>
      <c r="B103" s="207" t="str">
        <f>IF(Contents!$B$2=2,"Purchase of heat energy","Покупка тепловой энергии")</f>
        <v>Purchase of heat energy</v>
      </c>
      <c r="C103" s="12" t="str">
        <f>IF(Contents!$B$2=2,"th. GJ","тыс. ГДж")</f>
        <v>th. GJ</v>
      </c>
      <c r="D103" s="168" t="s">
        <v>185</v>
      </c>
      <c r="E103" s="168" t="s">
        <v>185</v>
      </c>
      <c r="F103" s="168" t="s">
        <v>185</v>
      </c>
      <c r="G103" s="168" t="s">
        <v>185</v>
      </c>
      <c r="H103" s="168" t="s">
        <v>185</v>
      </c>
      <c r="I103" s="168" t="s">
        <v>185</v>
      </c>
      <c r="J103" s="168" t="s">
        <v>185</v>
      </c>
      <c r="K103" s="208">
        <v>77</v>
      </c>
      <c r="L103" s="208">
        <v>30</v>
      </c>
      <c r="M103" s="208">
        <v>60</v>
      </c>
      <c r="N103" s="200">
        <v>60</v>
      </c>
      <c r="O103" s="781"/>
      <c r="P103" s="558" t="str">
        <f>IF(Contents!$B$2=2,"Yes","Да")</f>
        <v>Yes</v>
      </c>
      <c r="Q103" s="29"/>
      <c r="R103" s="590" t="s">
        <v>52</v>
      </c>
      <c r="S103" s="590"/>
      <c r="T103" s="590"/>
      <c r="U103" s="590"/>
      <c r="V103" s="589"/>
      <c r="W103" s="558">
        <v>2</v>
      </c>
      <c r="X103" s="589"/>
      <c r="Y103" s="595"/>
      <c r="Z103" s="785"/>
      <c r="AA103" s="785"/>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row>
    <row r="104" spans="1:250" ht="18" customHeight="1">
      <c r="A104" s="850"/>
      <c r="B104" s="23" t="str">
        <f>IF(Contents!$B$2=2,"by facilities","по сегментам")</f>
        <v>by facilities</v>
      </c>
      <c r="C104" s="13"/>
      <c r="D104" s="550"/>
      <c r="E104" s="550"/>
      <c r="F104" s="550"/>
      <c r="G104" s="550"/>
      <c r="H104" s="552"/>
      <c r="I104" s="552"/>
      <c r="J104" s="552"/>
      <c r="K104" s="552"/>
      <c r="L104" s="552"/>
      <c r="M104" s="552"/>
      <c r="N104" s="552"/>
      <c r="O104" s="781"/>
      <c r="P104" s="558"/>
      <c r="Q104" s="29"/>
      <c r="R104" s="590"/>
      <c r="S104" s="590"/>
      <c r="T104" s="590"/>
      <c r="U104" s="590"/>
      <c r="W104" s="558"/>
      <c r="Y104" s="595"/>
    </row>
    <row r="105" spans="1:250" s="1" customFormat="1">
      <c r="A105" s="850"/>
      <c r="B105" s="177" t="str">
        <f>IF(Contents!$B$2=2,"Production / Upstream facilities","Предприятия добычи")</f>
        <v>Production / Upstream facilities</v>
      </c>
      <c r="C105" s="12" t="str">
        <f>IF(Contents!$B$2=2,"th. GJ","тыс. ГДж")</f>
        <v>th. GJ</v>
      </c>
      <c r="D105" s="168" t="s">
        <v>185</v>
      </c>
      <c r="E105" s="168" t="s">
        <v>185</v>
      </c>
      <c r="F105" s="168" t="s">
        <v>185</v>
      </c>
      <c r="G105" s="168" t="s">
        <v>185</v>
      </c>
      <c r="H105" s="205">
        <v>4831</v>
      </c>
      <c r="I105" s="213">
        <v>4690</v>
      </c>
      <c r="J105" s="208">
        <v>5254</v>
      </c>
      <c r="K105" s="208">
        <v>5306</v>
      </c>
      <c r="L105" s="208">
        <v>4349</v>
      </c>
      <c r="M105" s="208">
        <v>4811</v>
      </c>
      <c r="N105" s="209">
        <v>4880</v>
      </c>
      <c r="O105" s="781"/>
      <c r="P105" s="558"/>
      <c r="Q105" s="29"/>
      <c r="R105" s="590"/>
      <c r="S105" s="590"/>
      <c r="T105" s="590"/>
      <c r="U105" s="590"/>
      <c r="V105" s="589"/>
      <c r="W105" s="558">
        <v>2</v>
      </c>
      <c r="X105" s="589"/>
      <c r="Y105" s="595"/>
      <c r="Z105" s="785"/>
      <c r="AA105" s="785"/>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row>
    <row r="106" spans="1:250" s="1" customFormat="1">
      <c r="A106" s="850"/>
      <c r="B106" s="177" t="str">
        <f>IF(Contents!$B$2=2,"Processing / Downstream facilities","Предприятия переработки")</f>
        <v>Processing / Downstream facilities</v>
      </c>
      <c r="C106" s="12" t="str">
        <f>IF(Contents!$B$2=2,"th. GJ","тыс. ГДж")</f>
        <v>th. GJ</v>
      </c>
      <c r="D106" s="168" t="s">
        <v>185</v>
      </c>
      <c r="E106" s="168" t="s">
        <v>185</v>
      </c>
      <c r="F106" s="168" t="s">
        <v>185</v>
      </c>
      <c r="G106" s="168" t="s">
        <v>185</v>
      </c>
      <c r="H106" s="205">
        <v>926</v>
      </c>
      <c r="I106" s="213">
        <v>928</v>
      </c>
      <c r="J106" s="208">
        <v>988</v>
      </c>
      <c r="K106" s="208">
        <v>1005</v>
      </c>
      <c r="L106" s="208">
        <v>1199</v>
      </c>
      <c r="M106" s="208">
        <v>1277</v>
      </c>
      <c r="N106" s="209">
        <v>1290</v>
      </c>
      <c r="O106" s="781"/>
      <c r="P106" s="558"/>
      <c r="Q106" s="29"/>
      <c r="R106" s="590"/>
      <c r="S106" s="590"/>
      <c r="T106" s="590"/>
      <c r="U106" s="590"/>
      <c r="V106" s="589"/>
      <c r="W106" s="558">
        <v>2</v>
      </c>
      <c r="X106" s="589"/>
      <c r="Y106" s="595"/>
      <c r="Z106" s="785"/>
      <c r="AA106" s="785"/>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row>
    <row r="107" spans="1:250" s="1" customFormat="1">
      <c r="A107" s="850"/>
      <c r="B107" s="177" t="str">
        <f>IF(Contents!$B$2=2,"LNG production facilities","Производство СПГ")</f>
        <v>LNG production facilities</v>
      </c>
      <c r="C107" s="12" t="str">
        <f>IF(Contents!$B$2=2,"th. GJ","тыс. ГДж")</f>
        <v>th. GJ</v>
      </c>
      <c r="D107" s="168" t="s">
        <v>185</v>
      </c>
      <c r="E107" s="168" t="s">
        <v>185</v>
      </c>
      <c r="F107" s="168" t="s">
        <v>185</v>
      </c>
      <c r="G107" s="168" t="s">
        <v>185</v>
      </c>
      <c r="H107" s="205">
        <v>7139</v>
      </c>
      <c r="I107" s="213">
        <v>7379</v>
      </c>
      <c r="J107" s="208">
        <v>8040</v>
      </c>
      <c r="K107" s="208">
        <v>8785</v>
      </c>
      <c r="L107" s="208">
        <v>5186</v>
      </c>
      <c r="M107" s="208">
        <v>5766</v>
      </c>
      <c r="N107" s="209">
        <v>7011</v>
      </c>
      <c r="O107" s="781"/>
      <c r="P107" s="558"/>
      <c r="Q107" s="29"/>
      <c r="R107" s="590"/>
      <c r="S107" s="590"/>
      <c r="T107" s="590"/>
      <c r="U107" s="590"/>
      <c r="V107" s="589"/>
      <c r="W107" s="558">
        <v>2</v>
      </c>
      <c r="X107" s="589"/>
      <c r="Y107" s="589"/>
      <c r="Z107" s="785"/>
      <c r="AA107" s="785"/>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row>
    <row r="108" spans="1:250" s="1" customFormat="1" ht="25.5" customHeight="1">
      <c r="A108" s="850"/>
      <c r="B108" s="214" t="str">
        <f>IF(Contents!$B$2=2,"Other","Прочие")</f>
        <v>Other</v>
      </c>
      <c r="C108" s="12" t="str">
        <f>IF(Contents!$B$2=2,"th. GJ","тыс. ГДж")</f>
        <v>th. GJ</v>
      </c>
      <c r="D108" s="168" t="s">
        <v>185</v>
      </c>
      <c r="E108" s="168" t="s">
        <v>185</v>
      </c>
      <c r="F108" s="168" t="s">
        <v>185</v>
      </c>
      <c r="G108" s="168" t="s">
        <v>185</v>
      </c>
      <c r="H108" s="205">
        <v>46</v>
      </c>
      <c r="I108" s="213">
        <v>487</v>
      </c>
      <c r="J108" s="208">
        <v>1192</v>
      </c>
      <c r="K108" s="208">
        <v>1590</v>
      </c>
      <c r="L108" s="208">
        <v>1653</v>
      </c>
      <c r="M108" s="208">
        <v>1287</v>
      </c>
      <c r="N108" s="209">
        <v>970</v>
      </c>
      <c r="O108" s="883"/>
      <c r="P108" s="558"/>
      <c r="Q108" s="29"/>
      <c r="R108" s="590"/>
      <c r="S108" s="590"/>
      <c r="T108" s="590"/>
      <c r="U108" s="590"/>
      <c r="V108" s="589"/>
      <c r="W108" s="558">
        <v>2</v>
      </c>
      <c r="X108" s="589"/>
      <c r="Y108" s="589"/>
      <c r="Z108" s="785"/>
      <c r="AA108" s="785"/>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row>
    <row r="109" spans="1:250" s="1" customFormat="1">
      <c r="A109" s="851"/>
      <c r="B109" s="215" t="str">
        <f>IF(Contents!$B$2=2,"Electricity consumption","Потребление электроэнергии")</f>
        <v>Electricity consumption</v>
      </c>
      <c r="C109" s="12" t="str">
        <f>IF(Contents!$B$2=2,"mln kWh","млн кВт·ч")</f>
        <v>mln kWh</v>
      </c>
      <c r="D109" s="10">
        <v>588</v>
      </c>
      <c r="E109" s="10">
        <v>658</v>
      </c>
      <c r="F109" s="205">
        <v>675</v>
      </c>
      <c r="G109" s="205">
        <v>1862</v>
      </c>
      <c r="H109" s="205">
        <v>2691</v>
      </c>
      <c r="I109" s="208">
        <v>2927</v>
      </c>
      <c r="J109" s="208">
        <v>3322</v>
      </c>
      <c r="K109" s="208">
        <v>3646</v>
      </c>
      <c r="L109" s="208">
        <v>2599</v>
      </c>
      <c r="M109" s="208">
        <v>2751</v>
      </c>
      <c r="N109" s="209">
        <v>2863</v>
      </c>
      <c r="O109" s="781"/>
      <c r="P109" s="558" t="str">
        <f>IF(Contents!$B$2=2,"Yes","Да")</f>
        <v>Yes</v>
      </c>
      <c r="Q109" s="29"/>
      <c r="R109" s="590"/>
      <c r="S109" s="590"/>
      <c r="T109" s="590"/>
      <c r="U109" s="590"/>
      <c r="V109" s="589"/>
      <c r="W109" s="558">
        <v>2</v>
      </c>
      <c r="X109" s="589"/>
      <c r="Y109" s="595"/>
      <c r="Z109" s="785"/>
      <c r="AA109" s="785"/>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row>
    <row r="110" spans="1:250" s="1" customFormat="1" ht="25.5">
      <c r="A110" s="851"/>
      <c r="B110" s="203" t="str">
        <f>IF(Contents!$B$2=2,"Total energy savings","Суммарный объем энергосбережения")</f>
        <v>Total energy savings</v>
      </c>
      <c r="C110" s="12" t="str">
        <f>IF(Contents!$B$2=2,"th. GJ","тыс. ГДж")</f>
        <v>th. GJ</v>
      </c>
      <c r="D110" s="168" t="s">
        <v>185</v>
      </c>
      <c r="E110" s="168" t="s">
        <v>185</v>
      </c>
      <c r="F110" s="10">
        <v>26.7</v>
      </c>
      <c r="G110" s="10">
        <v>33.9</v>
      </c>
      <c r="H110" s="10">
        <v>32.6</v>
      </c>
      <c r="I110" s="10">
        <v>30.5</v>
      </c>
      <c r="J110" s="10">
        <v>43.2</v>
      </c>
      <c r="K110" s="677">
        <v>6790.1</v>
      </c>
      <c r="L110" s="677">
        <v>7878</v>
      </c>
      <c r="M110" s="677">
        <v>7690</v>
      </c>
      <c r="N110" s="209">
        <v>17979</v>
      </c>
      <c r="O110" s="881"/>
      <c r="P110" s="558" t="str">
        <f>IF(Contents!$B$2=2,"Yes","Да")</f>
        <v>Yes</v>
      </c>
      <c r="Q110" s="29"/>
      <c r="R110" s="465" t="s">
        <v>66</v>
      </c>
      <c r="S110" s="465"/>
      <c r="T110" s="590"/>
      <c r="U110" s="590"/>
      <c r="V110" s="589"/>
      <c r="W110" s="558">
        <v>2</v>
      </c>
      <c r="X110" s="589"/>
      <c r="Y110" s="595"/>
      <c r="Z110" s="785"/>
      <c r="AA110" s="785"/>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row>
    <row r="111" spans="1:250" s="1" customFormat="1">
      <c r="A111" s="851"/>
      <c r="D111" s="543"/>
      <c r="E111" s="543"/>
      <c r="F111" s="543"/>
      <c r="G111" s="543"/>
      <c r="H111" s="543"/>
      <c r="I111" s="543"/>
      <c r="J111" s="543"/>
      <c r="K111" s="543"/>
      <c r="L111" s="543"/>
      <c r="M111" s="543"/>
      <c r="N111" s="543"/>
      <c r="O111" s="38"/>
      <c r="P111" s="558"/>
      <c r="Q111" s="38"/>
      <c r="R111" s="590"/>
      <c r="S111" s="590"/>
      <c r="T111" s="590"/>
      <c r="U111" s="590"/>
      <c r="V111" s="589"/>
      <c r="W111" s="558"/>
      <c r="X111" s="589"/>
      <c r="Y111" s="595"/>
      <c r="Z111" s="785"/>
      <c r="AA111" s="785"/>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row>
    <row r="112" spans="1:250" s="1" customFormat="1">
      <c r="A112" s="851"/>
      <c r="B112" s="25" t="str">
        <f>IF(Contents!$B$2=2,"Notes:","Примечания:")</f>
        <v>Notes:</v>
      </c>
      <c r="D112" s="543"/>
      <c r="E112" s="543"/>
      <c r="F112" s="543"/>
      <c r="G112" s="543"/>
      <c r="H112" s="543"/>
      <c r="I112" s="543"/>
      <c r="J112" s="543"/>
      <c r="K112" s="543"/>
      <c r="L112" s="543"/>
      <c r="M112" s="543"/>
      <c r="N112" s="543"/>
      <c r="O112" s="37"/>
      <c r="P112" s="39"/>
      <c r="Q112" s="37"/>
      <c r="R112" s="590"/>
      <c r="S112" s="590"/>
      <c r="T112" s="590"/>
      <c r="U112" s="590"/>
      <c r="V112" s="589"/>
      <c r="W112" s="39"/>
      <c r="X112" s="589"/>
      <c r="Y112" s="595"/>
      <c r="Z112" s="785"/>
      <c r="AA112" s="785"/>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row>
    <row r="113" spans="1:250" s="1" customFormat="1">
      <c r="A113" s="851"/>
      <c r="B113" s="26" t="str">
        <f>IF(Contents!$B$2=2, Z114, AA114)</f>
        <v>Energy consumption is calculated as the sum of purchased energy and supporting generation less sales and dispatch. The following coefficients were used to recalculate the data: 1 thousand kWh = 3.6 GJ, 1 Gcal = 4.187 GJ. When recalculating data on fuel consumption, the following coefficient was used: 1 toe = 29.31 GJ; 1 toe = 1 cubic metre * 1.154.</v>
      </c>
      <c r="D113" s="543"/>
      <c r="E113" s="543"/>
      <c r="F113" s="543"/>
      <c r="G113" s="543"/>
      <c r="H113" s="543"/>
      <c r="I113" s="543"/>
      <c r="J113" s="543"/>
      <c r="K113" s="543"/>
      <c r="L113" s="543"/>
      <c r="M113" s="543"/>
      <c r="N113" s="543"/>
      <c r="O113" s="38"/>
      <c r="P113" s="558"/>
      <c r="Q113" s="38"/>
      <c r="R113" s="590"/>
      <c r="S113" s="590"/>
      <c r="T113" s="590"/>
      <c r="U113" s="590"/>
      <c r="V113" s="589"/>
      <c r="W113" s="558"/>
      <c r="X113" s="589"/>
      <c r="Y113" s="595"/>
      <c r="Z113" s="785"/>
      <c r="AA113" s="785"/>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row>
    <row r="114" spans="1:250" s="1" customFormat="1" ht="48.75" customHeight="1">
      <c r="A114" s="851"/>
      <c r="B114" s="26" t="str">
        <f>IF(Contents!$B$2=2, $Z$115, $AB$114)</f>
        <v>To align its approaches with the consolidated financial statements in 2025, the Company revised its approach to calculating indicators and recalculated the indicators for 2023, 2024, and 2025. The indicators are disclosed in proportion to the Group's ownership interest in joint ventures (perimeter 2).</v>
      </c>
      <c r="E114" s="543"/>
      <c r="F114" s="543"/>
      <c r="G114" s="543"/>
      <c r="H114" s="543"/>
      <c r="I114" s="543"/>
      <c r="J114" s="543"/>
      <c r="K114" s="543"/>
      <c r="L114" s="543"/>
      <c r="M114" s="543"/>
      <c r="N114" s="543"/>
      <c r="O114" s="38"/>
      <c r="P114" s="558"/>
      <c r="Q114" s="38"/>
      <c r="R114" s="590"/>
      <c r="S114" s="590"/>
      <c r="T114" s="590"/>
      <c r="U114" s="590"/>
      <c r="V114" s="589"/>
      <c r="W114" s="558"/>
      <c r="X114" s="589"/>
      <c r="Y114" s="595"/>
      <c r="Z114" s="114" t="s">
        <v>34</v>
      </c>
      <c r="AA114" s="786" t="s">
        <v>9</v>
      </c>
      <c r="AB114" s="117" t="s">
        <v>226</v>
      </c>
      <c r="AC114" s="117" t="s">
        <v>227</v>
      </c>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row>
    <row r="115" spans="1:250">
      <c r="B115" s="216" t="str">
        <f>IF(Contents!$B$2=2,"Fuel consumption","Потребление топлива")</f>
        <v>Fuel consumption</v>
      </c>
      <c r="C115" s="217"/>
      <c r="D115" s="553"/>
      <c r="E115" s="553"/>
      <c r="F115" s="553"/>
      <c r="G115" s="553"/>
      <c r="H115" s="553"/>
      <c r="I115" s="553"/>
      <c r="J115" s="553"/>
      <c r="K115" s="553"/>
      <c r="L115" s="553"/>
      <c r="M115" s="553"/>
      <c r="N115" s="553"/>
      <c r="O115" s="38"/>
      <c r="P115" s="558"/>
      <c r="Q115" s="38"/>
      <c r="R115" s="590"/>
      <c r="S115" s="590"/>
      <c r="T115" s="590"/>
      <c r="U115" s="590"/>
      <c r="W115" s="558"/>
      <c r="Y115" s="595"/>
      <c r="Z115" s="226" t="s">
        <v>196</v>
      </c>
      <c r="AA115" s="226" t="s">
        <v>195</v>
      </c>
    </row>
    <row r="116" spans="1:250" s="1" customFormat="1" ht="25.5">
      <c r="A116" s="851"/>
      <c r="B116" s="218" t="str">
        <f>IF(Contents!$B$2=2,"Fuel consumption from non-renewable sources, including","Расход топлива из невозобновляемых источников")</f>
        <v>Fuel consumption from non-renewable sources, including</v>
      </c>
      <c r="C116" s="12" t="str">
        <f>IF(Contents!$B$2=2,"th. GJ","тыс. ГДж")</f>
        <v>th. GJ</v>
      </c>
      <c r="D116" s="205">
        <v>6614</v>
      </c>
      <c r="E116" s="205">
        <v>7485</v>
      </c>
      <c r="F116" s="205">
        <v>5877</v>
      </c>
      <c r="G116" s="205">
        <v>20720</v>
      </c>
      <c r="H116" s="205">
        <v>164135</v>
      </c>
      <c r="I116" s="205">
        <v>179956</v>
      </c>
      <c r="J116" s="205">
        <v>197899</v>
      </c>
      <c r="K116" s="205">
        <v>188222</v>
      </c>
      <c r="L116" s="101">
        <v>141432</v>
      </c>
      <c r="M116" s="101">
        <v>146969</v>
      </c>
      <c r="N116" s="204">
        <v>159655</v>
      </c>
      <c r="O116" s="37"/>
      <c r="P116" s="558" t="str">
        <f>IF(Contents!$B$2=2,"Yes","Да")</f>
        <v>Yes</v>
      </c>
      <c r="Q116" s="37"/>
      <c r="R116" s="465" t="s">
        <v>64</v>
      </c>
      <c r="S116" s="493"/>
      <c r="T116" s="590"/>
      <c r="U116" s="273" t="str">
        <f>IF(Contents!$B$2=2,"PBCS 13","СОКБ 13")</f>
        <v>PBCS 13</v>
      </c>
      <c r="V116" s="589"/>
      <c r="W116" s="558">
        <v>2</v>
      </c>
      <c r="X116" s="589"/>
      <c r="Y116" s="595"/>
      <c r="Z116" s="785"/>
      <c r="AA116" s="785"/>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row>
    <row r="117" spans="1:250">
      <c r="B117" s="23" t="str">
        <f>IF(Contents!$B$2=2,"by type and purpose","по видам и целям")</f>
        <v>by type and purpose</v>
      </c>
      <c r="C117" s="197"/>
      <c r="D117" s="550"/>
      <c r="E117" s="550"/>
      <c r="F117" s="550"/>
      <c r="G117" s="550"/>
      <c r="H117" s="650"/>
      <c r="I117" s="650"/>
      <c r="J117" s="650"/>
      <c r="K117" s="650"/>
      <c r="L117" s="650"/>
      <c r="M117" s="650"/>
      <c r="N117" s="650"/>
      <c r="O117" s="29"/>
      <c r="P117" s="558"/>
      <c r="Q117" s="37"/>
      <c r="R117" s="590"/>
      <c r="S117" s="590"/>
      <c r="T117" s="590"/>
      <c r="U117" s="590"/>
      <c r="W117" s="558"/>
      <c r="Y117" s="595"/>
    </row>
    <row r="118" spans="1:250" s="1" customFormat="1">
      <c r="A118" s="851"/>
      <c r="B118" s="219" t="str">
        <f>IF(Contents!$B$2=2,"Natural gas to produce heat and electricity","Природный газ для производства тепла и электроэнергии")</f>
        <v>Natural gas to produce heat and electricity</v>
      </c>
      <c r="C118" s="12" t="str">
        <f>IF(Contents!$B$2=2,"th. GJ","тыс. ГДж")</f>
        <v>th. GJ</v>
      </c>
      <c r="D118" s="205">
        <v>6614</v>
      </c>
      <c r="E118" s="205">
        <v>7485</v>
      </c>
      <c r="F118" s="205">
        <v>5877</v>
      </c>
      <c r="G118" s="205">
        <v>20720</v>
      </c>
      <c r="H118" s="205">
        <v>30457</v>
      </c>
      <c r="I118" s="208">
        <v>34983</v>
      </c>
      <c r="J118" s="208">
        <v>38846</v>
      </c>
      <c r="K118" s="208">
        <v>40518</v>
      </c>
      <c r="L118" s="208">
        <v>26807</v>
      </c>
      <c r="M118" s="208">
        <v>33071</v>
      </c>
      <c r="N118" s="204">
        <v>32310</v>
      </c>
      <c r="O118" s="38"/>
      <c r="P118" s="558" t="str">
        <f>IF(Contents!$B$2=2,"Yes","Да")</f>
        <v>Yes</v>
      </c>
      <c r="Q118" s="37"/>
      <c r="R118" s="590"/>
      <c r="S118" s="590"/>
      <c r="T118" s="590"/>
      <c r="U118" s="590"/>
      <c r="V118" s="589"/>
      <c r="W118" s="558">
        <v>2</v>
      </c>
      <c r="X118" s="589"/>
      <c r="Y118" s="595"/>
      <c r="Z118" s="785"/>
      <c r="AA118" s="785"/>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row>
    <row r="119" spans="1:250" s="1" customFormat="1">
      <c r="A119" s="851"/>
      <c r="B119" s="219" t="str">
        <f>IF(Contents!$B$2=2,"Natural gas for the Company's own technological needs","Природный газ для собственных технологических нужд Компании")</f>
        <v>Natural gas for the Company's own technological needs</v>
      </c>
      <c r="C119" s="12" t="str">
        <f>IF(Contents!$B$2=2,"th. GJ","тыс. ГДж")</f>
        <v>th. GJ</v>
      </c>
      <c r="D119" s="168" t="s">
        <v>185</v>
      </c>
      <c r="E119" s="168" t="s">
        <v>185</v>
      </c>
      <c r="F119" s="168" t="s">
        <v>185</v>
      </c>
      <c r="G119" s="168" t="s">
        <v>185</v>
      </c>
      <c r="H119" s="205">
        <v>128678</v>
      </c>
      <c r="I119" s="205">
        <v>140973</v>
      </c>
      <c r="J119" s="205">
        <v>154401</v>
      </c>
      <c r="K119" s="205">
        <v>143178</v>
      </c>
      <c r="L119" s="205">
        <v>107789</v>
      </c>
      <c r="M119" s="205">
        <v>106735</v>
      </c>
      <c r="N119" s="204">
        <v>119460</v>
      </c>
      <c r="O119" s="38"/>
      <c r="P119" s="558" t="str">
        <f>IF(Contents!$B$2=2,"Yes","Да")</f>
        <v>Yes</v>
      </c>
      <c r="Q119" s="37"/>
      <c r="R119" s="590"/>
      <c r="S119" s="590"/>
      <c r="T119" s="590"/>
      <c r="U119" s="590"/>
      <c r="V119" s="589"/>
      <c r="W119" s="558">
        <v>2</v>
      </c>
      <c r="X119" s="589"/>
      <c r="Y119" s="595"/>
      <c r="Z119" s="785"/>
      <c r="AA119" s="785"/>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row>
    <row r="120" spans="1:250" s="1" customFormat="1">
      <c r="A120" s="851"/>
      <c r="B120" s="219" t="str">
        <f>IF(Contents!$B$2=2,"Butane fraction","Бутановая фракция")</f>
        <v>Butane fraction</v>
      </c>
      <c r="C120" s="12" t="str">
        <f>IF(Contents!$B$2=2,"th. GJ","тыс. ГДж")</f>
        <v>th. GJ</v>
      </c>
      <c r="D120" s="168" t="s">
        <v>185</v>
      </c>
      <c r="E120" s="168" t="s">
        <v>185</v>
      </c>
      <c r="F120" s="168" t="s">
        <v>185</v>
      </c>
      <c r="G120" s="168" t="s">
        <v>185</v>
      </c>
      <c r="H120" s="205">
        <v>5000</v>
      </c>
      <c r="I120" s="205">
        <v>4000</v>
      </c>
      <c r="J120" s="205">
        <v>4652</v>
      </c>
      <c r="K120" s="205">
        <v>4526</v>
      </c>
      <c r="L120" s="205">
        <v>6272</v>
      </c>
      <c r="M120" s="205">
        <v>6568</v>
      </c>
      <c r="N120" s="204">
        <v>7305</v>
      </c>
      <c r="O120" s="38"/>
      <c r="P120" s="558" t="str">
        <f>IF(Contents!$B$2=2,"Yes","Да")</f>
        <v>Yes</v>
      </c>
      <c r="Q120" s="37"/>
      <c r="R120" s="590"/>
      <c r="S120" s="590"/>
      <c r="T120" s="590"/>
      <c r="U120" s="590"/>
      <c r="V120" s="589"/>
      <c r="W120" s="558">
        <v>2</v>
      </c>
      <c r="X120" s="589"/>
      <c r="Y120" s="595"/>
      <c r="Z120" s="785"/>
      <c r="AA120" s="785"/>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c r="II120" s="14"/>
      <c r="IJ120" s="14"/>
      <c r="IK120" s="14"/>
      <c r="IL120" s="14"/>
      <c r="IM120" s="14"/>
      <c r="IN120" s="14"/>
      <c r="IO120" s="14"/>
      <c r="IP120" s="14"/>
    </row>
    <row r="121" spans="1:250" s="1" customFormat="1">
      <c r="A121" s="851"/>
      <c r="B121" s="219" t="str">
        <f>IF(Contents!$B$2=2,"Marine fuel component","Компонент судового топлива")</f>
        <v>Marine fuel component</v>
      </c>
      <c r="C121" s="12" t="str">
        <f>IF(Contents!$B$2=2,"th. GJ","тыс. ГДж")</f>
        <v>th. GJ</v>
      </c>
      <c r="D121" s="168" t="s">
        <v>185</v>
      </c>
      <c r="E121" s="168" t="s">
        <v>185</v>
      </c>
      <c r="F121" s="168" t="s">
        <v>185</v>
      </c>
      <c r="G121" s="168" t="s">
        <v>185</v>
      </c>
      <c r="H121" s="168" t="s">
        <v>185</v>
      </c>
      <c r="I121" s="168" t="s">
        <v>185</v>
      </c>
      <c r="J121" s="168" t="s">
        <v>185</v>
      </c>
      <c r="K121" s="168" t="s">
        <v>185</v>
      </c>
      <c r="L121" s="205">
        <v>564</v>
      </c>
      <c r="M121" s="205">
        <v>595</v>
      </c>
      <c r="N121" s="204">
        <v>580</v>
      </c>
      <c r="O121" s="38"/>
      <c r="P121" s="558" t="str">
        <f>IF(Contents!$B$2=2,"Yes","Да")</f>
        <v>Yes</v>
      </c>
      <c r="Q121" s="37"/>
      <c r="R121" s="590"/>
      <c r="S121" s="590"/>
      <c r="T121" s="590"/>
      <c r="U121" s="590"/>
      <c r="V121" s="589"/>
      <c r="W121" s="558">
        <v>2</v>
      </c>
      <c r="X121" s="589"/>
      <c r="Y121" s="595"/>
      <c r="Z121" s="785"/>
      <c r="AA121" s="785"/>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row>
    <row r="122" spans="1:250" s="1" customFormat="1">
      <c r="A122" s="851"/>
      <c r="B122" s="113" t="s">
        <v>67</v>
      </c>
      <c r="C122" s="113" t="s">
        <v>68</v>
      </c>
      <c r="D122" s="543"/>
      <c r="E122" s="543"/>
      <c r="F122" s="543"/>
      <c r="G122" s="543"/>
      <c r="H122" s="543"/>
      <c r="I122" s="543"/>
      <c r="J122" s="543"/>
      <c r="K122" s="543"/>
      <c r="L122" s="543"/>
      <c r="M122" s="543"/>
      <c r="N122" s="543"/>
      <c r="O122" s="29"/>
      <c r="P122" s="558"/>
      <c r="Q122" s="29"/>
      <c r="R122" s="590"/>
      <c r="S122" s="590"/>
      <c r="T122" s="590"/>
      <c r="U122" s="590"/>
      <c r="V122" s="589"/>
      <c r="W122" s="558">
        <v>2</v>
      </c>
      <c r="X122" s="589"/>
      <c r="Y122" s="595"/>
      <c r="Z122" s="785"/>
      <c r="AA122" s="785"/>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row>
    <row r="123" spans="1:250" ht="25.5">
      <c r="B123" s="216" t="str">
        <f>IF(Contents!$B$2=2,"Specific electricity consumption","Удельное потребление электроэнергии")</f>
        <v>Specific electricity consumption</v>
      </c>
      <c r="C123" s="217"/>
      <c r="D123" s="553"/>
      <c r="E123" s="553"/>
      <c r="F123" s="553"/>
      <c r="G123" s="553"/>
      <c r="H123" s="553"/>
      <c r="I123" s="553"/>
      <c r="J123" s="553"/>
      <c r="K123" s="553"/>
      <c r="L123" s="553"/>
      <c r="M123" s="553"/>
      <c r="N123" s="553"/>
      <c r="O123" s="29"/>
      <c r="P123" s="558"/>
      <c r="Q123" s="29"/>
      <c r="R123" s="465" t="s">
        <v>69</v>
      </c>
      <c r="S123" s="493"/>
      <c r="T123" s="590"/>
      <c r="U123" s="590"/>
      <c r="W123" s="558"/>
      <c r="Y123" s="595"/>
    </row>
    <row r="124" spans="1:250">
      <c r="B124" s="23" t="str">
        <f>IF(Contents!$B$2=2,"by process","по процессам")</f>
        <v>by process</v>
      </c>
      <c r="C124" s="220"/>
      <c r="D124" s="554"/>
      <c r="E124" s="554"/>
      <c r="F124" s="554"/>
      <c r="G124" s="554"/>
      <c r="H124" s="554"/>
      <c r="I124" s="554"/>
      <c r="J124" s="554"/>
      <c r="K124" s="554"/>
      <c r="L124" s="554"/>
      <c r="M124" s="554"/>
      <c r="N124" s="554"/>
      <c r="O124" s="29"/>
      <c r="P124" s="558"/>
      <c r="Q124" s="29"/>
      <c r="R124" s="590"/>
      <c r="S124" s="590"/>
      <c r="T124" s="590"/>
      <c r="U124" s="590"/>
      <c r="W124" s="558">
        <v>2</v>
      </c>
      <c r="Y124" s="595"/>
    </row>
    <row r="125" spans="1:250" s="1" customFormat="1">
      <c r="A125" s="851"/>
      <c r="B125" s="219" t="str">
        <f>IF(Contents!$B$2=2,"Gas production","Добыча газа")</f>
        <v>Gas production</v>
      </c>
      <c r="C125" s="178" t="str">
        <f>IF(Contents!$B$2=2,"kWh / th. cubic meters","кВт·ч / тыс. куб. м")</f>
        <v>kWh / th. cubic meters</v>
      </c>
      <c r="D125" s="168" t="s">
        <v>185</v>
      </c>
      <c r="E125" s="168" t="s">
        <v>185</v>
      </c>
      <c r="F125" s="652">
        <v>2.5</v>
      </c>
      <c r="G125" s="652">
        <v>2.1</v>
      </c>
      <c r="H125" s="652">
        <v>2.4</v>
      </c>
      <c r="I125" s="653">
        <v>2.5</v>
      </c>
      <c r="J125" s="653">
        <v>2.5</v>
      </c>
      <c r="K125" s="653">
        <v>2.2999999999999998</v>
      </c>
      <c r="L125" s="653">
        <v>2.8</v>
      </c>
      <c r="M125" s="653">
        <v>2.7</v>
      </c>
      <c r="N125" s="28">
        <v>2.9</v>
      </c>
      <c r="O125" s="881"/>
      <c r="P125" s="558" t="str">
        <f>IF(Contents!$B$2=2,"Yes","Да")</f>
        <v>Yes</v>
      </c>
      <c r="Q125" s="29"/>
      <c r="R125" s="590"/>
      <c r="S125" s="590"/>
      <c r="T125" s="590"/>
      <c r="U125" s="590"/>
      <c r="V125" s="589"/>
      <c r="W125" s="558">
        <v>2</v>
      </c>
      <c r="X125" s="589"/>
      <c r="Y125" s="595"/>
      <c r="Z125" s="785"/>
      <c r="AA125" s="785"/>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c r="IN125" s="14"/>
      <c r="IO125" s="14"/>
      <c r="IP125" s="14"/>
    </row>
    <row r="126" spans="1:250" s="1" customFormat="1">
      <c r="A126" s="851"/>
      <c r="B126" s="219" t="str">
        <f>IF(Contents!$B$2=2,"Condensate production","Добыча конденсата")</f>
        <v>Condensate production</v>
      </c>
      <c r="C126" s="178" t="str">
        <f>IF(Contents!$B$2=2,"kWh / tons","кВт·ч / т")</f>
        <v>kWh / tons</v>
      </c>
      <c r="D126" s="168" t="s">
        <v>185</v>
      </c>
      <c r="E126" s="168" t="s">
        <v>185</v>
      </c>
      <c r="F126" s="652">
        <v>12.4</v>
      </c>
      <c r="G126" s="652">
        <v>10.7</v>
      </c>
      <c r="H126" s="652">
        <v>10.8</v>
      </c>
      <c r="I126" s="653">
        <v>10.3</v>
      </c>
      <c r="J126" s="653">
        <v>10.3</v>
      </c>
      <c r="K126" s="653">
        <v>11.1</v>
      </c>
      <c r="L126" s="653">
        <v>10.7</v>
      </c>
      <c r="M126" s="653">
        <v>10.7</v>
      </c>
      <c r="N126" s="28">
        <v>10.9</v>
      </c>
      <c r="O126" s="881"/>
      <c r="P126" s="558" t="str">
        <f>IF(Contents!$B$2=2,"Yes","Да")</f>
        <v>Yes</v>
      </c>
      <c r="Q126" s="29"/>
      <c r="R126" s="590"/>
      <c r="S126" s="590"/>
      <c r="T126" s="590"/>
      <c r="U126" s="590"/>
      <c r="V126" s="589"/>
      <c r="W126" s="558">
        <v>2</v>
      </c>
      <c r="X126" s="589"/>
      <c r="Y126" s="595"/>
      <c r="Z126" s="785"/>
      <c r="AA126" s="785"/>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c r="IJ126" s="14"/>
      <c r="IK126" s="14"/>
      <c r="IL126" s="14"/>
      <c r="IM126" s="14"/>
      <c r="IN126" s="14"/>
      <c r="IO126" s="14"/>
      <c r="IP126" s="14"/>
    </row>
    <row r="127" spans="1:250" s="1" customFormat="1">
      <c r="A127" s="851"/>
      <c r="B127" s="219" t="str">
        <f>IF(Contents!$B$2=2,"Oil production","Добыча нефти")</f>
        <v>Oil production</v>
      </c>
      <c r="C127" s="178" t="str">
        <f>IF(Contents!$B$2=2,"kWh / tons","кВт·ч / т")</f>
        <v>kWh / tons</v>
      </c>
      <c r="D127" s="168" t="s">
        <v>185</v>
      </c>
      <c r="E127" s="168" t="s">
        <v>185</v>
      </c>
      <c r="F127" s="652">
        <v>24</v>
      </c>
      <c r="G127" s="652">
        <v>21.4</v>
      </c>
      <c r="H127" s="652">
        <v>27.6</v>
      </c>
      <c r="I127" s="653">
        <v>34.6</v>
      </c>
      <c r="J127" s="653">
        <v>41.9</v>
      </c>
      <c r="K127" s="653">
        <v>55.3</v>
      </c>
      <c r="L127" s="653">
        <v>59.5</v>
      </c>
      <c r="M127" s="653">
        <v>39.200000000000003</v>
      </c>
      <c r="N127" s="28">
        <v>41.1</v>
      </c>
      <c r="O127" s="881"/>
      <c r="P127" s="558" t="str">
        <f>IF(Contents!$B$2=2,"Yes","Да")</f>
        <v>Yes</v>
      </c>
      <c r="Q127" s="29"/>
      <c r="R127" s="590"/>
      <c r="S127" s="590"/>
      <c r="T127" s="590"/>
      <c r="U127" s="590"/>
      <c r="V127" s="589"/>
      <c r="W127" s="558">
        <v>2</v>
      </c>
      <c r="X127" s="589"/>
      <c r="Y127" s="595"/>
      <c r="Z127" s="785"/>
      <c r="AA127" s="785"/>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row>
    <row r="128" spans="1:250" s="1" customFormat="1">
      <c r="A128" s="851"/>
      <c r="B128" s="219" t="str">
        <f>IF(Contents!$B$2=2,"Condensate processing","Переработка конденсата")</f>
        <v>Condensate processing</v>
      </c>
      <c r="C128" s="178" t="str">
        <f>IF(Contents!$B$2=2,"kWh / tons","кВт·ч / т")</f>
        <v>kWh / tons</v>
      </c>
      <c r="D128" s="168" t="s">
        <v>185</v>
      </c>
      <c r="E128" s="168" t="s">
        <v>185</v>
      </c>
      <c r="F128" s="652">
        <v>7.1</v>
      </c>
      <c r="G128" s="652">
        <v>6.5</v>
      </c>
      <c r="H128" s="652">
        <v>6.6</v>
      </c>
      <c r="I128" s="653">
        <v>6.3</v>
      </c>
      <c r="J128" s="653">
        <v>6.4</v>
      </c>
      <c r="K128" s="653">
        <v>6.4</v>
      </c>
      <c r="L128" s="653">
        <v>7</v>
      </c>
      <c r="M128" s="653">
        <v>8.9</v>
      </c>
      <c r="N128" s="28">
        <v>9</v>
      </c>
      <c r="O128" s="881"/>
      <c r="P128" s="558" t="str">
        <f>IF(Contents!$B$2=2,"Yes","Да")</f>
        <v>Yes</v>
      </c>
      <c r="Q128" s="29"/>
      <c r="R128" s="590"/>
      <c r="S128" s="590"/>
      <c r="T128" s="590"/>
      <c r="U128" s="590"/>
      <c r="V128" s="589"/>
      <c r="W128" s="558">
        <v>2</v>
      </c>
      <c r="X128" s="589"/>
      <c r="Y128" s="595"/>
      <c r="Z128" s="785"/>
      <c r="AA128" s="78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c r="IJ128" s="14"/>
      <c r="IK128" s="14"/>
      <c r="IL128" s="14"/>
      <c r="IM128" s="14"/>
      <c r="IN128" s="14"/>
      <c r="IO128" s="14"/>
      <c r="IP128" s="14"/>
    </row>
    <row r="129" spans="1:250" s="1" customFormat="1">
      <c r="A129" s="851"/>
      <c r="B129" s="223" t="str">
        <f>IF(Contents!$B$2=2,"Gas liquefaction, including shipment","Сжижение газа, включая отгрузку")</f>
        <v>Gas liquefaction, including shipment</v>
      </c>
      <c r="C129" s="178" t="str">
        <f>IF(Contents!$B$2=2,"kWh / tons","кВт·ч / т")</f>
        <v>kWh / tons</v>
      </c>
      <c r="D129" s="168" t="s">
        <v>185</v>
      </c>
      <c r="E129" s="168" t="s">
        <v>185</v>
      </c>
      <c r="F129" s="654" t="s">
        <v>185</v>
      </c>
      <c r="G129" s="652">
        <v>107.6</v>
      </c>
      <c r="H129" s="652">
        <v>87.9</v>
      </c>
      <c r="I129" s="653">
        <v>91.8</v>
      </c>
      <c r="J129" s="653">
        <v>93.4</v>
      </c>
      <c r="K129" s="653">
        <v>97.8</v>
      </c>
      <c r="L129" s="653">
        <v>99.7</v>
      </c>
      <c r="M129" s="653">
        <v>97.8</v>
      </c>
      <c r="N129" s="28">
        <v>100.5</v>
      </c>
      <c r="O129" s="881"/>
      <c r="P129" s="558" t="str">
        <f>IF(Contents!$B$2=2,"Yes","Да")</f>
        <v>Yes</v>
      </c>
      <c r="Q129" s="29"/>
      <c r="R129" s="590"/>
      <c r="S129" s="590"/>
      <c r="T129" s="590"/>
      <c r="U129" s="590"/>
      <c r="V129" s="589"/>
      <c r="W129" s="558">
        <v>2</v>
      </c>
      <c r="X129" s="589"/>
      <c r="Y129" s="595"/>
      <c r="Z129" s="785"/>
      <c r="AA129" s="78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c r="IJ129" s="14"/>
      <c r="IK129" s="14"/>
      <c r="IL129" s="14"/>
      <c r="IM129" s="14"/>
      <c r="IN129" s="14"/>
      <c r="IO129" s="14"/>
      <c r="IP129" s="14"/>
    </row>
    <row r="130" spans="1:250" s="1" customFormat="1" ht="25.5">
      <c r="A130" s="851"/>
      <c r="B130" s="203" t="str">
        <f>IF(Contents!$B$2=2,"Energy consumption intensity (electricity and heat)","Удельное энергопотребление (электрической и тепловой)")</f>
        <v>Energy consumption intensity (electricity and heat)</v>
      </c>
      <c r="C130" s="12" t="str">
        <f>IF(Contents!$B$2=2,"GJ / boe","ГДж / бнэ")</f>
        <v>GJ / boe</v>
      </c>
      <c r="D130" s="168" t="s">
        <v>185</v>
      </c>
      <c r="E130" s="168" t="s">
        <v>185</v>
      </c>
      <c r="F130" s="168" t="s">
        <v>185</v>
      </c>
      <c r="G130" s="168" t="s">
        <v>185</v>
      </c>
      <c r="H130" s="224">
        <v>0.02</v>
      </c>
      <c r="I130" s="224">
        <v>0.02</v>
      </c>
      <c r="J130" s="224">
        <v>0.02</v>
      </c>
      <c r="K130" s="224">
        <v>0.03</v>
      </c>
      <c r="L130" s="224">
        <v>0.02</v>
      </c>
      <c r="M130" s="224">
        <v>0.02</v>
      </c>
      <c r="N130" s="787">
        <v>0.02</v>
      </c>
      <c r="O130" s="871"/>
      <c r="P130" s="558" t="str">
        <f>IF(Contents!$B$2=2,"Yes","Да")</f>
        <v>Yes</v>
      </c>
      <c r="Q130" s="29"/>
      <c r="R130" s="465" t="s">
        <v>69</v>
      </c>
      <c r="S130" s="493"/>
      <c r="T130" s="590"/>
      <c r="U130" s="590"/>
      <c r="V130" s="589"/>
      <c r="W130" s="558">
        <v>2</v>
      </c>
      <c r="X130" s="589"/>
      <c r="Y130" s="595"/>
      <c r="Z130" s="785"/>
      <c r="AA130" s="785"/>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c r="IJ130" s="14"/>
      <c r="IK130" s="14"/>
      <c r="IL130" s="14"/>
      <c r="IM130" s="14"/>
      <c r="IN130" s="14"/>
      <c r="IO130" s="14"/>
      <c r="IP130" s="14"/>
    </row>
    <row r="131" spans="1:250" s="1" customFormat="1">
      <c r="A131" s="851"/>
      <c r="B131" s="183" t="str">
        <f>IF(Contents!$B$2=2,"Production / Upstream facilities","Предприятия добычи")</f>
        <v>Production / Upstream facilities</v>
      </c>
      <c r="C131" s="178" t="str">
        <f>IF(Contents!$B$2=2,"GJ / boe","ГДж / бнэ")</f>
        <v>GJ / boe</v>
      </c>
      <c r="D131" s="168" t="s">
        <v>185</v>
      </c>
      <c r="E131" s="168" t="s">
        <v>185</v>
      </c>
      <c r="F131" s="168" t="s">
        <v>185</v>
      </c>
      <c r="G131" s="168" t="s">
        <v>185</v>
      </c>
      <c r="H131" s="224">
        <v>0.01</v>
      </c>
      <c r="I131" s="224">
        <v>0.01</v>
      </c>
      <c r="J131" s="224">
        <v>0.01</v>
      </c>
      <c r="K131" s="224">
        <v>0.01</v>
      </c>
      <c r="L131" s="224">
        <v>0.01</v>
      </c>
      <c r="M131" s="224">
        <v>0.01</v>
      </c>
      <c r="N131" s="787">
        <v>0.01</v>
      </c>
      <c r="O131" s="871"/>
      <c r="P131" s="558" t="str">
        <f>IF(Contents!$B$2=2,"Yes","Да")</f>
        <v>Yes</v>
      </c>
      <c r="Q131" s="29"/>
      <c r="R131" s="587"/>
      <c r="S131" s="465"/>
      <c r="T131" s="590"/>
      <c r="U131" s="590"/>
      <c r="V131" s="589"/>
      <c r="W131" s="558">
        <v>2</v>
      </c>
      <c r="X131" s="589"/>
      <c r="Y131" s="595"/>
      <c r="Z131" s="785"/>
      <c r="AA131" s="785"/>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row>
    <row r="132" spans="1:250" s="1" customFormat="1" ht="31.35" customHeight="1">
      <c r="A132" s="851"/>
      <c r="B132" s="177" t="str">
        <f>IF(Contents!$B$2=2,"Processing / Downstream facilities","Предприятия переработки")</f>
        <v>Processing / Downstream facilities</v>
      </c>
      <c r="C132" s="178" t="str">
        <f>IF(Contents!$B$2=2,"GJ / boe","ГДж / бнэ")</f>
        <v>GJ / boe</v>
      </c>
      <c r="D132" s="168" t="s">
        <v>185</v>
      </c>
      <c r="E132" s="168" t="s">
        <v>185</v>
      </c>
      <c r="F132" s="168" t="s">
        <v>185</v>
      </c>
      <c r="G132" s="168" t="s">
        <v>185</v>
      </c>
      <c r="H132" s="168" t="s">
        <v>185</v>
      </c>
      <c r="I132" s="168" t="s">
        <v>185</v>
      </c>
      <c r="J132" s="168" t="s">
        <v>185</v>
      </c>
      <c r="K132" s="168" t="s">
        <v>185</v>
      </c>
      <c r="L132" s="836">
        <v>1.8589147286821705E-3</v>
      </c>
      <c r="M132" s="836">
        <v>1.9154042297885106E-3</v>
      </c>
      <c r="N132" s="837">
        <v>1.9167904903417533E-3</v>
      </c>
      <c r="O132" s="871"/>
      <c r="P132" s="558"/>
      <c r="Q132" s="29"/>
      <c r="R132" s="587"/>
      <c r="S132" s="465"/>
      <c r="T132" s="590"/>
      <c r="U132" s="590"/>
      <c r="V132" s="589"/>
      <c r="W132" s="558">
        <v>2</v>
      </c>
      <c r="X132" s="589"/>
      <c r="Y132" s="595"/>
      <c r="Z132" s="785"/>
      <c r="AA132" s="785"/>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row>
    <row r="133" spans="1:250" s="1" customFormat="1">
      <c r="A133" s="851"/>
      <c r="B133" s="225"/>
      <c r="C133" s="180"/>
      <c r="D133" s="543"/>
      <c r="E133" s="543"/>
      <c r="F133" s="543"/>
      <c r="G133" s="543"/>
      <c r="H133" s="543"/>
      <c r="I133" s="543"/>
      <c r="J133" s="543"/>
      <c r="K133" s="543"/>
      <c r="L133" s="543"/>
      <c r="M133" s="543"/>
      <c r="N133" s="543"/>
      <c r="O133" s="29"/>
      <c r="P133" s="558"/>
      <c r="Q133" s="29"/>
      <c r="R133" s="590"/>
      <c r="S133" s="590"/>
      <c r="T133" s="590"/>
      <c r="U133" s="590"/>
      <c r="V133" s="589"/>
      <c r="W133" s="558"/>
      <c r="X133" s="589"/>
      <c r="Y133" s="595"/>
      <c r="Z133" s="785"/>
      <c r="AA133" s="785"/>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row>
    <row r="134" spans="1:250" s="1" customFormat="1">
      <c r="A134" s="851"/>
      <c r="B134" s="25" t="str">
        <f>IF(Contents!$B$2=2,"Notes:","Примечания:")</f>
        <v>Notes:</v>
      </c>
      <c r="C134" s="180"/>
      <c r="D134" s="543"/>
      <c r="E134" s="543"/>
      <c r="F134" s="543"/>
      <c r="G134" s="543"/>
      <c r="H134" s="543"/>
      <c r="I134" s="543"/>
      <c r="J134" s="543"/>
      <c r="K134" s="543"/>
      <c r="L134" s="543"/>
      <c r="M134" s="543"/>
      <c r="N134" s="543"/>
      <c r="O134" s="29"/>
      <c r="P134" s="558"/>
      <c r="Q134" s="29"/>
      <c r="R134" s="590"/>
      <c r="S134" s="590"/>
      <c r="T134" s="590"/>
      <c r="U134" s="590"/>
      <c r="V134" s="589"/>
      <c r="W134" s="558"/>
      <c r="X134" s="589"/>
      <c r="Y134" s="595"/>
      <c r="Z134" s="785"/>
      <c r="AA134" s="785"/>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row>
    <row r="135" spans="1:250" s="1" customFormat="1" ht="23.45" customHeight="1">
      <c r="A135" s="851"/>
      <c r="B135" s="26" t="str">
        <f>IF(Contents!$B$2=2, AA135, Z135)</f>
        <v>Reduction of specific electricity consumption from the oil production process in 2024 is due to commissioning of the Kharbeyskoye field for development.</v>
      </c>
      <c r="C135" s="180"/>
      <c r="D135" s="543"/>
      <c r="E135" s="543"/>
      <c r="F135" s="543"/>
      <c r="G135" s="543"/>
      <c r="H135" s="543"/>
      <c r="I135" s="543"/>
      <c r="J135" s="543"/>
      <c r="K135" s="543"/>
      <c r="L135" s="543"/>
      <c r="M135" s="543"/>
      <c r="N135" s="543"/>
      <c r="O135" s="29"/>
      <c r="P135" s="558"/>
      <c r="Q135" s="29"/>
      <c r="R135" s="590"/>
      <c r="S135" s="590"/>
      <c r="T135" s="590"/>
      <c r="U135" s="590"/>
      <c r="V135" s="589"/>
      <c r="W135" s="558"/>
      <c r="X135" s="589"/>
      <c r="Y135" s="595"/>
      <c r="Z135" s="114" t="s">
        <v>70</v>
      </c>
      <c r="AA135" s="227" t="s">
        <v>71</v>
      </c>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row>
    <row r="136" spans="1:250" s="1" customFormat="1">
      <c r="A136" s="851"/>
      <c r="B136" s="26" t="str">
        <f>IF(Contents!$B$2=2, AA138, Z138)</f>
        <v>The increase in specific electricity consumption from condensate processing in 2024 is due to the introduction of hydrocracking technology.</v>
      </c>
      <c r="C136" s="180"/>
      <c r="D136" s="543"/>
      <c r="E136" s="543"/>
      <c r="F136" s="543"/>
      <c r="G136" s="543"/>
      <c r="H136" s="543"/>
      <c r="I136" s="543"/>
      <c r="J136" s="543"/>
      <c r="K136" s="543"/>
      <c r="L136" s="543"/>
      <c r="M136" s="543"/>
      <c r="N136" s="543"/>
      <c r="O136" s="29"/>
      <c r="P136" s="558"/>
      <c r="Q136" s="29"/>
      <c r="R136" s="590"/>
      <c r="S136" s="590"/>
      <c r="T136" s="590"/>
      <c r="U136" s="590"/>
      <c r="V136" s="589"/>
      <c r="W136" s="558"/>
      <c r="X136" s="589"/>
      <c r="Y136" s="595"/>
      <c r="Z136" s="785"/>
      <c r="AA136" s="785"/>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row>
    <row r="137" spans="1:250" s="1" customFormat="1">
      <c r="A137" s="851"/>
      <c r="B137" s="26" t="str">
        <f>IF(Contents!$B$2=2, AA137, Z137)</f>
        <v>Starting from 2024, the calculation of specific electricity consumption from the gas liquefaction process includes production and shipment of LNG and condensate by JSC Yamal LNG in addition to the LNG production and shipment by LLC Cryogas Vysotsk. Figures for the prior years have been restated.</v>
      </c>
      <c r="D137" s="543"/>
      <c r="E137" s="543"/>
      <c r="F137" s="543"/>
      <c r="G137" s="543"/>
      <c r="H137" s="543"/>
      <c r="I137" s="543"/>
      <c r="J137" s="543"/>
      <c r="K137" s="543"/>
      <c r="L137" s="543"/>
      <c r="M137" s="543"/>
      <c r="N137" s="543"/>
      <c r="O137" s="29"/>
      <c r="P137" s="558"/>
      <c r="Q137" s="29"/>
      <c r="R137" s="590"/>
      <c r="S137" s="590"/>
      <c r="T137" s="590"/>
      <c r="U137" s="590"/>
      <c r="V137" s="589"/>
      <c r="W137" s="558"/>
      <c r="X137" s="589"/>
      <c r="Y137" s="595"/>
      <c r="Z137" s="114" t="s">
        <v>74</v>
      </c>
      <c r="AA137" s="114" t="s">
        <v>75</v>
      </c>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row>
    <row r="138" spans="1:250" s="228" customFormat="1" ht="18.75" customHeight="1">
      <c r="A138" s="851"/>
      <c r="B138" s="26"/>
      <c r="H138" s="556"/>
      <c r="I138" s="556"/>
      <c r="J138" s="556"/>
      <c r="K138" s="556"/>
      <c r="L138" s="556"/>
      <c r="M138" s="556"/>
      <c r="N138" s="556"/>
      <c r="O138" s="229"/>
      <c r="P138" s="600"/>
      <c r="Q138" s="229"/>
      <c r="R138" s="591"/>
      <c r="S138" s="591"/>
      <c r="T138" s="591"/>
      <c r="U138" s="591"/>
      <c r="V138" s="599"/>
      <c r="W138" s="600"/>
      <c r="X138" s="599"/>
      <c r="Y138" s="601"/>
      <c r="Z138" s="114" t="s">
        <v>72</v>
      </c>
      <c r="AA138" s="227" t="s">
        <v>73</v>
      </c>
      <c r="AB138" s="226" t="s">
        <v>225</v>
      </c>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6"/>
      <c r="BA138" s="226"/>
      <c r="BB138" s="226"/>
      <c r="BC138" s="226"/>
      <c r="BD138" s="226"/>
      <c r="BE138" s="226"/>
      <c r="BF138" s="226"/>
      <c r="BG138" s="226"/>
      <c r="BH138" s="226"/>
      <c r="BI138" s="22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c r="DB138" s="226"/>
      <c r="DC138" s="226"/>
      <c r="DD138" s="226"/>
      <c r="DE138" s="226"/>
      <c r="DF138" s="226"/>
      <c r="DG138" s="226"/>
      <c r="DH138" s="226"/>
      <c r="DI138" s="226"/>
      <c r="DJ138" s="226"/>
      <c r="DK138" s="226"/>
      <c r="DL138" s="226"/>
      <c r="DM138" s="226"/>
      <c r="DN138" s="226"/>
      <c r="DO138" s="226"/>
      <c r="DP138" s="226"/>
      <c r="DQ138" s="226"/>
      <c r="DR138" s="226"/>
      <c r="DS138" s="226"/>
      <c r="DT138" s="226"/>
      <c r="DU138" s="226"/>
      <c r="DV138" s="226"/>
      <c r="DW138" s="226"/>
      <c r="DX138" s="226"/>
      <c r="DY138" s="226"/>
      <c r="DZ138" s="226"/>
      <c r="EA138" s="226"/>
      <c r="EB138" s="226"/>
      <c r="EC138" s="226"/>
      <c r="ED138" s="226"/>
      <c r="EE138" s="226"/>
      <c r="EF138" s="226"/>
      <c r="EG138" s="226"/>
      <c r="EH138" s="226"/>
      <c r="EI138" s="226"/>
      <c r="EJ138" s="226"/>
      <c r="EK138" s="226"/>
      <c r="EL138" s="226"/>
      <c r="EM138" s="226"/>
      <c r="EN138" s="226"/>
      <c r="EO138" s="226"/>
      <c r="EP138" s="226"/>
      <c r="EQ138" s="226"/>
      <c r="ER138" s="226"/>
      <c r="ES138" s="226"/>
      <c r="ET138" s="226"/>
      <c r="EU138" s="226"/>
      <c r="EV138" s="226"/>
      <c r="EW138" s="226"/>
      <c r="EX138" s="226"/>
      <c r="EY138" s="226"/>
      <c r="EZ138" s="226"/>
      <c r="FA138" s="226"/>
      <c r="FB138" s="226"/>
      <c r="FC138" s="226"/>
      <c r="FD138" s="226"/>
      <c r="FE138" s="226"/>
      <c r="FF138" s="226"/>
      <c r="FG138" s="226"/>
      <c r="FH138" s="226"/>
      <c r="FI138" s="226"/>
      <c r="FJ138" s="226"/>
      <c r="FK138" s="226"/>
      <c r="FL138" s="226"/>
      <c r="FM138" s="226"/>
      <c r="FN138" s="226"/>
      <c r="FO138" s="226"/>
      <c r="FP138" s="226"/>
      <c r="FQ138" s="226"/>
      <c r="FR138" s="226"/>
      <c r="FS138" s="226"/>
      <c r="FT138" s="226"/>
      <c r="FU138" s="226"/>
      <c r="FV138" s="226"/>
      <c r="FW138" s="226"/>
      <c r="FX138" s="226"/>
      <c r="FY138" s="226"/>
      <c r="FZ138" s="226"/>
      <c r="GA138" s="226"/>
      <c r="GB138" s="226"/>
      <c r="GC138" s="226"/>
      <c r="GD138" s="226"/>
      <c r="GE138" s="226"/>
      <c r="GF138" s="226"/>
      <c r="GG138" s="226"/>
      <c r="GH138" s="226"/>
      <c r="GI138" s="226"/>
      <c r="GJ138" s="226"/>
      <c r="GK138" s="226"/>
      <c r="GL138" s="226"/>
      <c r="GM138" s="226"/>
      <c r="GN138" s="226"/>
      <c r="GO138" s="226"/>
      <c r="GP138" s="226"/>
      <c r="GQ138" s="226"/>
      <c r="GR138" s="226"/>
      <c r="GS138" s="226"/>
      <c r="GT138" s="226"/>
      <c r="GU138" s="226"/>
      <c r="GV138" s="226"/>
      <c r="GW138" s="226"/>
      <c r="GX138" s="226"/>
      <c r="GY138" s="226"/>
      <c r="GZ138" s="226"/>
      <c r="HA138" s="226"/>
      <c r="HB138" s="226"/>
      <c r="HC138" s="226"/>
      <c r="HD138" s="226"/>
      <c r="HE138" s="226"/>
      <c r="HF138" s="226"/>
      <c r="HG138" s="226"/>
      <c r="HH138" s="226"/>
      <c r="HI138" s="226"/>
      <c r="HJ138" s="226"/>
      <c r="HK138" s="226"/>
      <c r="HL138" s="226"/>
      <c r="HM138" s="226"/>
      <c r="HN138" s="226"/>
      <c r="HO138" s="226"/>
      <c r="HP138" s="226"/>
      <c r="HQ138" s="226"/>
      <c r="HR138" s="226"/>
      <c r="HS138" s="226"/>
      <c r="HT138" s="226"/>
      <c r="HU138" s="226"/>
      <c r="HV138" s="226"/>
      <c r="HW138" s="226"/>
      <c r="HX138" s="226"/>
      <c r="HY138" s="226"/>
      <c r="HZ138" s="226"/>
      <c r="IA138" s="226"/>
      <c r="IB138" s="226"/>
      <c r="IC138" s="226"/>
      <c r="ID138" s="226"/>
      <c r="IE138" s="226"/>
      <c r="IF138" s="226"/>
      <c r="IG138" s="226"/>
      <c r="IH138" s="226"/>
      <c r="II138" s="226"/>
      <c r="IJ138" s="226"/>
      <c r="IK138" s="226"/>
      <c r="IL138" s="226"/>
      <c r="IM138" s="226"/>
      <c r="IN138" s="226"/>
      <c r="IO138" s="226"/>
      <c r="IP138" s="226"/>
    </row>
    <row r="139" spans="1:250" s="1" customFormat="1" ht="25.5">
      <c r="A139" s="851"/>
      <c r="B139" s="162" t="str">
        <f>IF(Contents!$B$2=2,"Energy consumption from RES and low-carbon sources","Потребление энергии из ВИЭ и низкоуглеродных источников")</f>
        <v>Energy consumption from RES and low-carbon sources</v>
      </c>
      <c r="C139" s="42" t="str">
        <f>IF(Contents!$B$2=2,"th. kWh","тыс. кВт·ч")</f>
        <v>th. kWh</v>
      </c>
      <c r="D139" s="163" t="s">
        <v>185</v>
      </c>
      <c r="E139" s="163" t="s">
        <v>185</v>
      </c>
      <c r="F139" s="163" t="s">
        <v>185</v>
      </c>
      <c r="G139" s="163" t="s">
        <v>185</v>
      </c>
      <c r="H139" s="163" t="s">
        <v>185</v>
      </c>
      <c r="I139" s="163" t="s">
        <v>185</v>
      </c>
      <c r="J139" s="163" t="s">
        <v>185</v>
      </c>
      <c r="K139" s="295">
        <v>23239</v>
      </c>
      <c r="L139" s="295">
        <v>63691</v>
      </c>
      <c r="M139" s="295">
        <v>71332</v>
      </c>
      <c r="N139" s="295">
        <v>367</v>
      </c>
      <c r="O139" s="29"/>
      <c r="P139" s="558" t="str">
        <f>IF(Contents!$B$2=2,"Yes","Да")</f>
        <v>Yes</v>
      </c>
      <c r="Q139" s="29"/>
      <c r="R139" s="465" t="s">
        <v>64</v>
      </c>
      <c r="S139" s="465"/>
      <c r="T139" s="590"/>
      <c r="U139" s="273" t="str">
        <f>IF(Contents!$B$2=2,"PBCS 12","СОКБ 12")</f>
        <v>PBCS 12</v>
      </c>
      <c r="V139" s="589"/>
      <c r="W139" s="558">
        <v>2</v>
      </c>
      <c r="X139" s="589"/>
      <c r="Y139" s="595"/>
      <c r="Z139" s="785"/>
      <c r="AA139" s="785"/>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row>
    <row r="140" spans="1:250" s="1" customFormat="1">
      <c r="A140" s="851"/>
      <c r="B140" s="230" t="str">
        <f>IF(Contents!$B$2=2,"Consumption of energy generated by the Company from RES","Потребление энергии, выработанной Компанией из ВИЭ")</f>
        <v>Consumption of energy generated by the Company from RES</v>
      </c>
      <c r="C140" s="12" t="str">
        <f>IF(Contents!$B$2=2,"th. kWh","тыс. кВт·ч")</f>
        <v>th. kWh</v>
      </c>
      <c r="D140" s="168" t="s">
        <v>185</v>
      </c>
      <c r="E140" s="221">
        <v>292</v>
      </c>
      <c r="F140" s="205">
        <v>300</v>
      </c>
      <c r="G140" s="205">
        <v>347</v>
      </c>
      <c r="H140" s="205">
        <v>263</v>
      </c>
      <c r="I140" s="205">
        <v>222</v>
      </c>
      <c r="J140" s="205">
        <v>209</v>
      </c>
      <c r="K140" s="205">
        <v>322</v>
      </c>
      <c r="L140" s="205">
        <v>324</v>
      </c>
      <c r="M140" s="205">
        <v>311</v>
      </c>
      <c r="N140" s="206">
        <v>367</v>
      </c>
      <c r="O140" s="29"/>
      <c r="P140" s="558" t="str">
        <f>IF(Contents!$B$2=2,"Yes","Да")</f>
        <v>Yes</v>
      </c>
      <c r="Q140" s="29"/>
      <c r="R140" s="590"/>
      <c r="S140" s="590"/>
      <c r="T140" s="590"/>
      <c r="U140" s="590"/>
      <c r="V140" s="589"/>
      <c r="W140" s="558">
        <v>2</v>
      </c>
      <c r="X140" s="589"/>
      <c r="Y140" s="595"/>
      <c r="Z140" s="785"/>
      <c r="AA140" s="785"/>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row>
    <row r="141" spans="1:250" s="1" customFormat="1">
      <c r="A141" s="851"/>
      <c r="B141" s="223" t="str">
        <f>IF(Contents!$B$2=2,"Wind turbines","Ветряные турбины")</f>
        <v>Wind turbines</v>
      </c>
      <c r="C141" s="12" t="str">
        <f>IF(Contents!$B$2=2,"th. kWh","тыс. кВт·ч")</f>
        <v>th. kWh</v>
      </c>
      <c r="D141" s="168" t="s">
        <v>185</v>
      </c>
      <c r="E141" s="168" t="s">
        <v>185</v>
      </c>
      <c r="F141" s="168" t="s">
        <v>185</v>
      </c>
      <c r="G141" s="205">
        <v>145</v>
      </c>
      <c r="H141" s="205">
        <v>116</v>
      </c>
      <c r="I141" s="222">
        <v>76</v>
      </c>
      <c r="J141" s="222">
        <v>80</v>
      </c>
      <c r="K141" s="231">
        <v>116</v>
      </c>
      <c r="L141" s="231">
        <v>131</v>
      </c>
      <c r="M141" s="231">
        <v>99</v>
      </c>
      <c r="N141" s="27">
        <v>131</v>
      </c>
      <c r="O141" s="29"/>
      <c r="P141" s="558" t="str">
        <f>IF(Contents!$B$2=2,"Yes","Да")</f>
        <v>Yes</v>
      </c>
      <c r="Q141" s="29"/>
      <c r="R141" s="589"/>
      <c r="S141" s="589"/>
      <c r="T141" s="589"/>
      <c r="U141" s="589"/>
      <c r="V141" s="589"/>
      <c r="W141" s="558">
        <v>2</v>
      </c>
      <c r="X141" s="589"/>
      <c r="Y141" s="589"/>
      <c r="Z141" s="785"/>
      <c r="AA141" s="785"/>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row>
    <row r="142" spans="1:250" s="1" customFormat="1">
      <c r="A142" s="851"/>
      <c r="B142" s="223" t="str">
        <f>IF(Contents!$B$2=2,"Solar modules","Солнечные модули")</f>
        <v>Solar modules</v>
      </c>
      <c r="C142" s="12" t="str">
        <f>IF(Contents!$B$2=2,"th. kWh","тыс. кВт·ч")</f>
        <v>th. kWh</v>
      </c>
      <c r="D142" s="168" t="s">
        <v>185</v>
      </c>
      <c r="E142" s="168" t="s">
        <v>185</v>
      </c>
      <c r="F142" s="168" t="s">
        <v>185</v>
      </c>
      <c r="G142" s="205">
        <v>202</v>
      </c>
      <c r="H142" s="205">
        <v>147</v>
      </c>
      <c r="I142" s="222">
        <v>146</v>
      </c>
      <c r="J142" s="222">
        <v>129</v>
      </c>
      <c r="K142" s="231">
        <v>206</v>
      </c>
      <c r="L142" s="231">
        <v>193</v>
      </c>
      <c r="M142" s="231">
        <v>212</v>
      </c>
      <c r="N142" s="27">
        <v>236</v>
      </c>
      <c r="O142" s="29"/>
      <c r="P142" s="558" t="str">
        <f>IF(Contents!$B$2=2,"Yes","Да")</f>
        <v>Yes</v>
      </c>
      <c r="Q142" s="29"/>
      <c r="R142" s="589"/>
      <c r="S142" s="589"/>
      <c r="T142" s="589"/>
      <c r="U142" s="589"/>
      <c r="V142" s="589"/>
      <c r="W142" s="558">
        <v>2</v>
      </c>
      <c r="X142" s="589"/>
      <c r="Y142" s="589"/>
      <c r="Z142" s="785"/>
      <c r="AA142" s="785"/>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row>
    <row r="143" spans="1:250" s="1" customFormat="1" ht="41.25" customHeight="1">
      <c r="A143" s="851"/>
      <c r="B143" s="218" t="str">
        <f>IF(Contents!$B$2=2,"Consumption of purchased low-carbon energy from RES with acquisition of generation attributes","Потребление закупленной низкоуглеродной энергии из ВИЭ")</f>
        <v>Consumption of purchased low-carbon energy from RES with acquisition of generation attributes</v>
      </c>
      <c r="C143" s="12" t="str">
        <f>IF(Contents!$B$2=2,"th. kWh","тыс. кВт·ч")</f>
        <v>th. kWh</v>
      </c>
      <c r="D143" s="168" t="s">
        <v>185</v>
      </c>
      <c r="E143" s="168" t="s">
        <v>185</v>
      </c>
      <c r="F143" s="168" t="s">
        <v>185</v>
      </c>
      <c r="G143" s="168" t="s">
        <v>185</v>
      </c>
      <c r="H143" s="168" t="s">
        <v>185</v>
      </c>
      <c r="I143" s="168" t="s">
        <v>185</v>
      </c>
      <c r="J143" s="168" t="s">
        <v>185</v>
      </c>
      <c r="K143" s="205">
        <v>22917</v>
      </c>
      <c r="L143" s="205">
        <v>63367</v>
      </c>
      <c r="M143" s="205">
        <v>71021</v>
      </c>
      <c r="N143" s="206">
        <v>0</v>
      </c>
      <c r="O143" s="29"/>
      <c r="P143" s="558" t="str">
        <f>IF(Contents!$B$2=2,"Yes","Да")</f>
        <v>Yes</v>
      </c>
      <c r="Q143" s="29"/>
      <c r="R143" s="589" t="s">
        <v>52</v>
      </c>
      <c r="S143" s="589"/>
      <c r="T143" s="589"/>
      <c r="U143" s="589"/>
      <c r="V143" s="589"/>
      <c r="W143" s="558">
        <v>2</v>
      </c>
      <c r="X143" s="589"/>
      <c r="Y143" s="589"/>
      <c r="Z143" s="785"/>
      <c r="AA143" s="785"/>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row>
    <row r="144" spans="1:250" s="1" customFormat="1">
      <c r="A144" s="851"/>
      <c r="B144" s="232" t="str">
        <f>IF(Contents!$B$2=2,"Energy from RES purchased with acquisition of generation attributes","Энергия из ВИЭ, закупленная с приобретением атрибутов генерации")</f>
        <v>Energy from RES purchased with acquisition of generation attributes</v>
      </c>
      <c r="C144" s="12" t="str">
        <f>IF(Contents!$B$2=2,"th. kWh","тыс. кВт·ч")</f>
        <v>th. kWh</v>
      </c>
      <c r="D144" s="168" t="s">
        <v>185</v>
      </c>
      <c r="E144" s="168" t="s">
        <v>185</v>
      </c>
      <c r="F144" s="168" t="s">
        <v>185</v>
      </c>
      <c r="G144" s="168" t="s">
        <v>185</v>
      </c>
      <c r="H144" s="168" t="s">
        <v>185</v>
      </c>
      <c r="I144" s="168" t="s">
        <v>185</v>
      </c>
      <c r="J144" s="168" t="s">
        <v>185</v>
      </c>
      <c r="K144" s="168">
        <v>0</v>
      </c>
      <c r="L144" s="168">
        <v>0</v>
      </c>
      <c r="M144" s="168">
        <v>71021</v>
      </c>
      <c r="N144" s="206">
        <v>0</v>
      </c>
      <c r="O144" s="29"/>
      <c r="P144" s="558" t="str">
        <f>IF(Contents!$B$2=2,"Yes","Да")</f>
        <v>Yes</v>
      </c>
      <c r="Q144" s="29"/>
      <c r="R144" s="589" t="s">
        <v>52</v>
      </c>
      <c r="S144" s="589"/>
      <c r="T144" s="589"/>
      <c r="U144" s="589"/>
      <c r="V144" s="589"/>
      <c r="W144" s="558">
        <v>2</v>
      </c>
      <c r="X144" s="589"/>
      <c r="Y144" s="589"/>
      <c r="Z144" s="785"/>
      <c r="AA144" s="785"/>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row>
    <row r="145" spans="1:250" s="1" customFormat="1" ht="36">
      <c r="A145" s="851"/>
      <c r="B145" s="232" t="str">
        <f>IF(Contents!$B$2=2,"Energy from RES purchased under the scheme of free bilateral purchase agreements (BPAs)","Энергия из ВИЭ, закупленная по схеме свободных двусторонних договоров купли-продажи (СДД)")</f>
        <v>Energy from RES purchased under the scheme of free bilateral purchase agreements (BPAs)</v>
      </c>
      <c r="C145" s="12" t="str">
        <f>IF(Contents!$B$2=2,"th. kWh","тыс. кВт·ч")</f>
        <v>th. kWh</v>
      </c>
      <c r="D145" s="168" t="s">
        <v>185</v>
      </c>
      <c r="E145" s="168" t="s">
        <v>185</v>
      </c>
      <c r="F145" s="168" t="s">
        <v>185</v>
      </c>
      <c r="G145" s="168" t="s">
        <v>185</v>
      </c>
      <c r="H145" s="168" t="s">
        <v>185</v>
      </c>
      <c r="I145" s="168" t="s">
        <v>185</v>
      </c>
      <c r="J145" s="168" t="s">
        <v>185</v>
      </c>
      <c r="K145" s="205">
        <v>22917</v>
      </c>
      <c r="L145" s="205">
        <v>63367</v>
      </c>
      <c r="M145" s="830">
        <v>0</v>
      </c>
      <c r="N145" s="233" t="s">
        <v>136</v>
      </c>
      <c r="O145" s="29"/>
      <c r="P145" s="558" t="str">
        <f>IF(Contents!$B$2=2,"Yes","Да")</f>
        <v>Yes</v>
      </c>
      <c r="Q145" s="29"/>
      <c r="R145" s="589"/>
      <c r="S145" s="589"/>
      <c r="T145" s="589"/>
      <c r="U145" s="589"/>
      <c r="V145" s="589"/>
      <c r="W145" s="558">
        <v>2</v>
      </c>
      <c r="X145" s="589"/>
      <c r="Y145" s="589"/>
      <c r="Z145" s="785"/>
      <c r="AA145" s="785"/>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row>
    <row r="146" spans="1:250" s="1" customFormat="1" ht="42.6" customHeight="1">
      <c r="A146" s="851"/>
      <c r="B146" s="230" t="str">
        <f>IF(Contents!$B$2=2,"Share of renewables in total electricity generation","Доля ВИЭ в общем производстве электроэнергии")</f>
        <v>Share of renewables in total electricity generation</v>
      </c>
      <c r="C146" s="12" t="s">
        <v>0</v>
      </c>
      <c r="D146" s="168" t="s">
        <v>185</v>
      </c>
      <c r="E146" s="168" t="s">
        <v>185</v>
      </c>
      <c r="F146" s="234">
        <v>0.1</v>
      </c>
      <c r="G146" s="224">
        <v>0.02</v>
      </c>
      <c r="H146" s="224">
        <v>0.01</v>
      </c>
      <c r="I146" s="224">
        <v>0.01</v>
      </c>
      <c r="J146" s="224">
        <v>0.01</v>
      </c>
      <c r="K146" s="224">
        <v>0.01</v>
      </c>
      <c r="L146" s="224">
        <v>0.01</v>
      </c>
      <c r="M146" s="224">
        <v>0.01</v>
      </c>
      <c r="N146" s="831">
        <v>0.01</v>
      </c>
      <c r="O146" s="872"/>
      <c r="P146" s="558" t="str">
        <f>IF(Contents!$B$2=2,"Yes","Да")</f>
        <v>Yes</v>
      </c>
      <c r="Q146" s="29"/>
      <c r="R146" s="589"/>
      <c r="S146" s="589"/>
      <c r="T146" s="589"/>
      <c r="U146" s="589"/>
      <c r="V146" s="589"/>
      <c r="W146" s="558">
        <v>2</v>
      </c>
      <c r="X146" s="589"/>
      <c r="Y146" s="589"/>
      <c r="Z146" s="785"/>
      <c r="AA146" s="785"/>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c r="IL146" s="14"/>
      <c r="IM146" s="14"/>
      <c r="IN146" s="14"/>
      <c r="IO146" s="14"/>
      <c r="IP146" s="14"/>
    </row>
    <row r="147" spans="1:250" s="1" customFormat="1">
      <c r="A147" s="851"/>
      <c r="B147" s="230" t="str">
        <f>IF(Contents!$B$2=2,"Number of renewable energy sources","Количество ВИЭ")</f>
        <v>Number of renewable energy sources</v>
      </c>
      <c r="C147" s="12" t="str">
        <f>IF(Contents!$B$2=2,"unit","ед.")</f>
        <v>unit</v>
      </c>
      <c r="D147" s="205">
        <v>54</v>
      </c>
      <c r="E147" s="205">
        <v>54</v>
      </c>
      <c r="F147" s="205">
        <v>128</v>
      </c>
      <c r="G147" s="205">
        <v>124</v>
      </c>
      <c r="H147" s="205">
        <v>132</v>
      </c>
      <c r="I147" s="222">
        <v>148</v>
      </c>
      <c r="J147" s="222">
        <v>148</v>
      </c>
      <c r="K147" s="222">
        <v>167</v>
      </c>
      <c r="L147" s="222">
        <v>175</v>
      </c>
      <c r="M147" s="222">
        <v>187</v>
      </c>
      <c r="N147" s="200">
        <v>200</v>
      </c>
      <c r="O147" s="817"/>
      <c r="P147" s="558" t="str">
        <f>IF(Contents!$B$2=2,"Yes","Да")</f>
        <v>Yes</v>
      </c>
      <c r="Q147" s="29"/>
      <c r="R147" s="589"/>
      <c r="S147" s="589"/>
      <c r="T147" s="589"/>
      <c r="U147" s="589"/>
      <c r="V147" s="589"/>
      <c r="W147" s="558">
        <v>2</v>
      </c>
      <c r="X147" s="589"/>
      <c r="Y147" s="589"/>
      <c r="Z147" s="785"/>
      <c r="AA147" s="785"/>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c r="IJ147" s="14"/>
      <c r="IK147" s="14"/>
      <c r="IL147" s="14"/>
      <c r="IM147" s="14"/>
      <c r="IN147" s="14"/>
      <c r="IO147" s="14"/>
      <c r="IP147" s="14"/>
    </row>
    <row r="148" spans="1:250" s="1" customFormat="1">
      <c r="A148" s="851"/>
      <c r="B148" s="230" t="str">
        <f>IF(Contents!$B$2=2,"Investments in renewables","Объем инвестиций в ВИЭ")</f>
        <v>Investments in renewables</v>
      </c>
      <c r="C148" s="186" t="str">
        <f>IF(Contents!$B$2=2,"RR mln","млн руб.")</f>
        <v>RR mln</v>
      </c>
      <c r="D148" s="168" t="s">
        <v>185</v>
      </c>
      <c r="E148" s="168" t="s">
        <v>185</v>
      </c>
      <c r="F148" s="168" t="s">
        <v>185</v>
      </c>
      <c r="G148" s="168" t="s">
        <v>185</v>
      </c>
      <c r="H148" s="235">
        <v>83</v>
      </c>
      <c r="I148" s="222">
        <v>99</v>
      </c>
      <c r="J148" s="222">
        <v>225</v>
      </c>
      <c r="K148" s="222">
        <v>279</v>
      </c>
      <c r="L148" s="222">
        <v>238</v>
      </c>
      <c r="M148" s="222">
        <v>217</v>
      </c>
      <c r="N148" s="200">
        <v>157</v>
      </c>
      <c r="O148" s="817"/>
      <c r="P148" s="558" t="str">
        <f>IF(Contents!$B$2=2,"Yes","Да")</f>
        <v>Yes</v>
      </c>
      <c r="Q148" s="29"/>
      <c r="R148" s="465" t="s">
        <v>76</v>
      </c>
      <c r="S148" s="465" t="s">
        <v>77</v>
      </c>
      <c r="T148" s="589"/>
      <c r="U148" s="589"/>
      <c r="V148" s="589"/>
      <c r="W148" s="558">
        <v>2</v>
      </c>
      <c r="X148" s="589"/>
      <c r="Y148" s="589"/>
      <c r="Z148" s="785"/>
      <c r="AA148" s="785"/>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c r="IJ148" s="14"/>
      <c r="IK148" s="14"/>
      <c r="IL148" s="14"/>
      <c r="IM148" s="14"/>
      <c r="IN148" s="14"/>
      <c r="IO148" s="14"/>
      <c r="IP148" s="14"/>
    </row>
    <row r="149" spans="1:250" s="1" customFormat="1">
      <c r="A149" s="851"/>
      <c r="B149" s="236" t="str">
        <f>IF(Contents!$B$2=2,"Share of investments in renewables in total investments","Доля инвестиций в ВИЭ в общем объеме инвестиций")</f>
        <v>Share of investments in renewables in total investments</v>
      </c>
      <c r="C149" s="180" t="s">
        <v>0</v>
      </c>
      <c r="D149" s="168" t="s">
        <v>185</v>
      </c>
      <c r="E149" s="168" t="s">
        <v>185</v>
      </c>
      <c r="F149" s="168" t="s">
        <v>185</v>
      </c>
      <c r="G149" s="168" t="s">
        <v>185</v>
      </c>
      <c r="H149" s="655">
        <v>0.2</v>
      </c>
      <c r="I149" s="649">
        <v>0.5</v>
      </c>
      <c r="J149" s="245">
        <v>0.3</v>
      </c>
      <c r="K149" s="245">
        <v>0.5</v>
      </c>
      <c r="L149" s="245">
        <v>0.2</v>
      </c>
      <c r="M149" s="245">
        <v>0.2</v>
      </c>
      <c r="N149" s="28">
        <v>0.3</v>
      </c>
      <c r="O149" s="817"/>
      <c r="P149" s="558" t="str">
        <f>IF(Contents!$B$2=2,"Yes","Да")</f>
        <v>Yes</v>
      </c>
      <c r="Q149" s="29"/>
      <c r="R149" s="589"/>
      <c r="S149" s="589"/>
      <c r="T149" s="589"/>
      <c r="U149" s="589"/>
      <c r="V149" s="589"/>
      <c r="W149" s="558">
        <v>2</v>
      </c>
      <c r="X149" s="589"/>
      <c r="Y149" s="589"/>
      <c r="Z149" s="785"/>
      <c r="AA149" s="785"/>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c r="IJ149" s="14"/>
      <c r="IK149" s="14"/>
      <c r="IL149" s="14"/>
      <c r="IM149" s="14"/>
      <c r="IN149" s="14"/>
      <c r="IO149" s="14"/>
      <c r="IP149" s="14"/>
    </row>
    <row r="150" spans="1:250" s="1" customFormat="1">
      <c r="A150" s="851"/>
      <c r="B150" s="37"/>
      <c r="D150" s="543"/>
      <c r="E150" s="543"/>
      <c r="F150" s="543"/>
      <c r="G150" s="543"/>
      <c r="H150" s="37"/>
      <c r="I150" s="39"/>
      <c r="J150" s="37"/>
      <c r="K150" s="39"/>
      <c r="L150" s="557"/>
      <c r="M150" s="557"/>
      <c r="N150" s="39"/>
      <c r="O150" s="22"/>
      <c r="P150" s="589"/>
      <c r="Q150" s="22"/>
      <c r="R150" s="589"/>
      <c r="S150" s="589"/>
      <c r="T150" s="589"/>
      <c r="U150" s="589"/>
      <c r="V150" s="589"/>
      <c r="W150" s="589"/>
      <c r="X150" s="589"/>
      <c r="Y150" s="589"/>
      <c r="Z150" s="785"/>
      <c r="AA150" s="785"/>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c r="HM150" s="14"/>
      <c r="HN150" s="14"/>
      <c r="HO150" s="14"/>
      <c r="HP150" s="14"/>
      <c r="HQ150" s="14"/>
      <c r="HR150" s="14"/>
      <c r="HS150" s="14"/>
      <c r="HT150" s="14"/>
      <c r="HU150" s="14"/>
      <c r="HV150" s="14"/>
      <c r="HW150" s="14"/>
      <c r="HX150" s="14"/>
      <c r="HY150" s="14"/>
      <c r="HZ150" s="14"/>
      <c r="IA150" s="14"/>
      <c r="IB150" s="14"/>
      <c r="IC150" s="14"/>
      <c r="ID150" s="14"/>
      <c r="IE150" s="14"/>
      <c r="IF150" s="14"/>
      <c r="IG150" s="14"/>
      <c r="IH150" s="14"/>
      <c r="II150" s="14"/>
      <c r="IJ150" s="14"/>
      <c r="IK150" s="14"/>
      <c r="IL150" s="14"/>
      <c r="IM150" s="14"/>
      <c r="IN150" s="14"/>
      <c r="IO150" s="14"/>
      <c r="IP150" s="14"/>
    </row>
    <row r="151" spans="1:250" s="1" customFormat="1">
      <c r="A151" s="851"/>
      <c r="B151" s="25" t="str">
        <f>IF(Contents!$B$2=2,"Notes:","Примечания:")</f>
        <v>Notes:</v>
      </c>
      <c r="D151" s="543"/>
      <c r="E151" s="543"/>
      <c r="F151" s="543"/>
      <c r="G151" s="543"/>
      <c r="H151" s="37"/>
      <c r="I151" s="558"/>
      <c r="J151" s="37"/>
      <c r="K151" s="558"/>
      <c r="L151" s="557"/>
      <c r="M151" s="557"/>
      <c r="N151" s="558"/>
      <c r="O151" s="22"/>
      <c r="P151" s="589"/>
      <c r="Q151" s="22"/>
      <c r="R151" s="589"/>
      <c r="S151" s="589"/>
      <c r="T151" s="589"/>
      <c r="U151" s="589"/>
      <c r="V151" s="589"/>
      <c r="W151" s="589"/>
      <c r="X151" s="589"/>
      <c r="Y151" s="589"/>
      <c r="Z151" s="785"/>
      <c r="AA151" s="785"/>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c r="HM151" s="14"/>
      <c r="HN151" s="14"/>
      <c r="HO151" s="14"/>
      <c r="HP151" s="14"/>
      <c r="HQ151" s="14"/>
      <c r="HR151" s="14"/>
      <c r="HS151" s="14"/>
      <c r="HT151" s="14"/>
      <c r="HU151" s="14"/>
      <c r="HV151" s="14"/>
      <c r="HW151" s="14"/>
      <c r="HX151" s="14"/>
      <c r="HY151" s="14"/>
      <c r="HZ151" s="14"/>
      <c r="IA151" s="14"/>
      <c r="IB151" s="14"/>
      <c r="IC151" s="14"/>
      <c r="ID151" s="14"/>
      <c r="IE151" s="14"/>
      <c r="IF151" s="14"/>
      <c r="IG151" s="14"/>
      <c r="IH151" s="14"/>
      <c r="II151" s="14"/>
      <c r="IJ151" s="14"/>
      <c r="IK151" s="14"/>
      <c r="IL151" s="14"/>
      <c r="IM151" s="14"/>
      <c r="IN151" s="14"/>
      <c r="IO151" s="14"/>
      <c r="IP151" s="14"/>
    </row>
    <row r="152" spans="1:250" s="1" customFormat="1">
      <c r="A152" s="851"/>
      <c r="B152" s="26" t="str">
        <f>IF(Contents!$B$2=2, AC155, AB155)</f>
        <v>Electricity under the free bilateral purchase agreements (BPAs) for the purchase and sale of electricity was procured from nuclear and wind power generation facilities. Starting from reporting year 2024, energy purchased under such a scheme cannot be recognised as RES energy without attributes in accordance with Federal Law No. 35 "On Electric Power Industry". The volume of energy purchased under BPAs in 2024 totalled 98,156 thousand kWh.</v>
      </c>
      <c r="D152" s="543"/>
      <c r="E152" s="543"/>
      <c r="F152" s="543"/>
      <c r="G152" s="543"/>
      <c r="H152" s="543"/>
      <c r="I152" s="543"/>
      <c r="J152" s="543"/>
      <c r="K152" s="543"/>
      <c r="L152" s="543"/>
      <c r="M152" s="543"/>
      <c r="N152" s="543"/>
      <c r="O152" s="38"/>
      <c r="P152" s="558"/>
      <c r="Q152" s="38"/>
      <c r="R152" s="590"/>
      <c r="S152" s="590"/>
      <c r="T152" s="590"/>
      <c r="U152" s="590"/>
      <c r="V152" s="589"/>
      <c r="W152" s="558"/>
      <c r="X152" s="589"/>
      <c r="Y152" s="595"/>
      <c r="Z152" s="785"/>
      <c r="AA152" s="785"/>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c r="IJ152" s="14"/>
      <c r="IK152" s="14"/>
      <c r="IL152" s="14"/>
      <c r="IM152" s="14"/>
      <c r="IN152" s="14"/>
      <c r="IO152" s="14"/>
      <c r="IP152" s="14"/>
    </row>
    <row r="153" spans="1:250" s="1" customFormat="1" ht="18" customHeight="1">
      <c r="A153" s="851"/>
      <c r="B153" s="26" t="str">
        <f>IF(Contents!$B$2=2, $AE$155, $AD$155)</f>
        <v>In the 2025 Report, the renewable energy consumption indicator for 2023 and 2024 has been recalculated proportionally to the Group's ownership stake in joint ventures. For more details, see Appendix 4, GRI 2-4.</v>
      </c>
      <c r="D153" s="543"/>
      <c r="E153" s="543"/>
      <c r="F153" s="543"/>
      <c r="G153" s="543"/>
      <c r="H153" s="37"/>
      <c r="I153" s="39"/>
      <c r="J153" s="37"/>
      <c r="K153" s="39"/>
      <c r="L153" s="557"/>
      <c r="M153" s="557"/>
      <c r="N153" s="39"/>
      <c r="O153" s="22"/>
      <c r="P153" s="589"/>
      <c r="Q153" s="22"/>
      <c r="R153" s="589"/>
      <c r="S153" s="589"/>
      <c r="T153" s="589"/>
      <c r="U153" s="589"/>
      <c r="V153" s="589"/>
      <c r="W153" s="589"/>
      <c r="X153" s="589"/>
      <c r="Y153" s="589"/>
      <c r="Z153" s="785"/>
      <c r="AA153" s="785"/>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c r="IJ153" s="14"/>
      <c r="IK153" s="14"/>
      <c r="IL153" s="14"/>
      <c r="IM153" s="14"/>
      <c r="IN153" s="14"/>
      <c r="IO153" s="14"/>
      <c r="IP153" s="14"/>
    </row>
    <row r="154" spans="1:250" s="1" customFormat="1">
      <c r="A154" s="851"/>
      <c r="B154" s="26" t="str">
        <f>IF(Contents!$B$2=2,"Investments include external social expenses, expenses for environmental protection and environmental stewardship, and investments in human resources and R&amp;D.","В общем объеме инвестиций учтены внешние социальные расходы, расходы на охрану окружающей среды и рациональное природопользование, инвестиции в персонал и НИОКР.")</f>
        <v>Investments include external social expenses, expenses for environmental protection and environmental stewardship, and investments in human resources and R&amp;D.</v>
      </c>
      <c r="D154" s="543"/>
      <c r="E154" s="543"/>
      <c r="F154" s="543"/>
      <c r="G154" s="543"/>
      <c r="H154" s="37"/>
      <c r="I154" s="39"/>
      <c r="J154" s="37"/>
      <c r="K154" s="39"/>
      <c r="L154" s="557"/>
      <c r="M154" s="557"/>
      <c r="N154" s="39"/>
      <c r="O154" s="22"/>
      <c r="P154" s="589"/>
      <c r="Q154" s="22"/>
      <c r="R154" s="589"/>
      <c r="S154" s="589"/>
      <c r="T154" s="589"/>
      <c r="U154" s="589"/>
      <c r="V154" s="589"/>
      <c r="W154" s="589"/>
      <c r="X154" s="589"/>
      <c r="Y154" s="589"/>
      <c r="Z154" s="785"/>
      <c r="AA154" s="785"/>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c r="IJ154" s="14"/>
      <c r="IK154" s="14"/>
      <c r="IL154" s="14"/>
      <c r="IM154" s="14"/>
      <c r="IN154" s="14"/>
      <c r="IO154" s="14"/>
      <c r="IP154" s="14"/>
    </row>
    <row r="155" spans="1:250" s="1" customFormat="1" ht="18.75" customHeight="1">
      <c r="A155" s="847"/>
      <c r="B155" s="26"/>
      <c r="F155" s="66"/>
      <c r="G155" s="543"/>
      <c r="H155" s="543"/>
      <c r="I155" s="543"/>
      <c r="J155" s="543"/>
      <c r="K155" s="543"/>
      <c r="L155" s="543"/>
      <c r="M155" s="543"/>
      <c r="N155" s="543"/>
      <c r="O155" s="22"/>
      <c r="P155" s="589"/>
      <c r="Q155" s="22"/>
      <c r="R155" s="589"/>
      <c r="S155" s="589"/>
      <c r="T155" s="589"/>
      <c r="U155" s="589"/>
      <c r="V155" s="589"/>
      <c r="W155" s="589"/>
      <c r="X155" s="589"/>
      <c r="Y155" s="589"/>
      <c r="Z155" s="114" t="s">
        <v>78</v>
      </c>
      <c r="AA155" s="114" t="s">
        <v>79</v>
      </c>
      <c r="AB155" s="114" t="s">
        <v>80</v>
      </c>
      <c r="AC155" s="114" t="s">
        <v>81</v>
      </c>
      <c r="AD155" s="117" t="s">
        <v>224</v>
      </c>
      <c r="AE155" s="117" t="s">
        <v>228</v>
      </c>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c r="IJ155" s="14"/>
      <c r="IK155" s="14"/>
      <c r="IL155" s="14"/>
      <c r="IM155" s="14"/>
      <c r="IN155" s="14"/>
      <c r="IO155" s="14"/>
      <c r="IP155" s="14"/>
    </row>
    <row r="156" spans="1:250">
      <c r="B156" s="238" t="str">
        <f>IF(Contents!$B$2=2,"Production and reserves","Добыча и запасы")</f>
        <v>Production and reserves</v>
      </c>
      <c r="C156" s="161"/>
      <c r="D156" s="559"/>
      <c r="E156" s="559"/>
      <c r="F156" s="559"/>
      <c r="G156" s="559"/>
      <c r="H156" s="559"/>
      <c r="I156" s="559"/>
      <c r="J156" s="559"/>
      <c r="K156" s="559"/>
      <c r="L156" s="559"/>
      <c r="M156" s="559"/>
      <c r="N156" s="559"/>
      <c r="O156" s="22"/>
      <c r="Q156" s="22"/>
    </row>
    <row r="157" spans="1:250" ht="39" customHeight="1">
      <c r="B157" s="216" t="str">
        <f>IF(Contents!$B$2=2,"Hydrocarbons production ","Добыча углеводородов")</f>
        <v xml:space="preserve">Hydrocarbons production </v>
      </c>
      <c r="C157" s="175" t="str">
        <f>IF(Contents!$B$2=2,"mln boe","млн бнэ")</f>
        <v>mln boe</v>
      </c>
      <c r="D157" s="239" t="s">
        <v>185</v>
      </c>
      <c r="E157" s="239" t="s">
        <v>185</v>
      </c>
      <c r="F157" s="560">
        <v>513.29999999999995</v>
      </c>
      <c r="G157" s="560">
        <v>549.1</v>
      </c>
      <c r="H157" s="560">
        <v>589.9</v>
      </c>
      <c r="I157" s="560">
        <v>608.20000000000005</v>
      </c>
      <c r="J157" s="560">
        <v>626.29999999999995</v>
      </c>
      <c r="K157" s="560">
        <v>638.70000000000005</v>
      </c>
      <c r="L157" s="560">
        <v>645</v>
      </c>
      <c r="M157" s="560">
        <v>666.7</v>
      </c>
      <c r="N157" s="560">
        <v>673</v>
      </c>
      <c r="O157" s="873"/>
      <c r="P157" s="558"/>
      <c r="Q157" s="29"/>
      <c r="W157" s="558">
        <v>2</v>
      </c>
    </row>
    <row r="158" spans="1:250">
      <c r="B158" s="23" t="str">
        <f>IF(Contents!$B$2=2,"by type","по видам")</f>
        <v>by type</v>
      </c>
      <c r="C158" s="220"/>
      <c r="D158" s="554"/>
      <c r="E158" s="554"/>
      <c r="F158" s="554"/>
      <c r="G158" s="554"/>
      <c r="H158" s="554"/>
      <c r="I158" s="554"/>
      <c r="J158" s="554"/>
      <c r="K158" s="554"/>
      <c r="L158" s="554"/>
      <c r="M158" s="554"/>
      <c r="N158" s="554"/>
      <c r="O158" s="29"/>
      <c r="P158" s="558"/>
      <c r="Q158" s="29"/>
      <c r="R158" s="590"/>
      <c r="S158" s="590"/>
      <c r="T158" s="590"/>
      <c r="U158" s="590"/>
      <c r="W158" s="558"/>
      <c r="Y158" s="595"/>
    </row>
    <row r="159" spans="1:250" s="1" customFormat="1" ht="35.450000000000003" customHeight="1">
      <c r="A159" s="851"/>
      <c r="B159" s="232" t="str">
        <f>IF(Contents!$B$2=2,"Natural gas","Природный газ")</f>
        <v>Natural gas</v>
      </c>
      <c r="C159" s="186" t="str">
        <f>IF(Contents!$B$2=2,"bln cubic meters","млрд куб. м")</f>
        <v>bln cubic meters</v>
      </c>
      <c r="D159" s="168" t="s">
        <v>185</v>
      </c>
      <c r="E159" s="168" t="s">
        <v>185</v>
      </c>
      <c r="F159" s="168" t="s">
        <v>185</v>
      </c>
      <c r="G159" s="201">
        <v>68.8</v>
      </c>
      <c r="H159" s="201">
        <v>74.7</v>
      </c>
      <c r="I159" s="201">
        <v>77.400000000000006</v>
      </c>
      <c r="J159" s="240">
        <v>79.900000000000006</v>
      </c>
      <c r="K159" s="240">
        <v>82.1</v>
      </c>
      <c r="L159" s="240">
        <v>82.4</v>
      </c>
      <c r="M159" s="240">
        <v>84.1</v>
      </c>
      <c r="N159" s="241">
        <v>84.6</v>
      </c>
      <c r="O159" s="872"/>
      <c r="P159" s="558"/>
      <c r="Q159" s="29"/>
      <c r="R159" s="589"/>
      <c r="S159" s="589"/>
      <c r="T159" s="589"/>
      <c r="U159" s="589"/>
      <c r="V159" s="589"/>
      <c r="W159" s="558">
        <v>2</v>
      </c>
      <c r="X159" s="589"/>
      <c r="Y159" s="589"/>
      <c r="Z159" s="785"/>
      <c r="AA159" s="785"/>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c r="HM159" s="14"/>
      <c r="HN159" s="14"/>
      <c r="HO159" s="14"/>
      <c r="HP159" s="14"/>
      <c r="HQ159" s="14"/>
      <c r="HR159" s="14"/>
      <c r="HS159" s="14"/>
      <c r="HT159" s="14"/>
      <c r="HU159" s="14"/>
      <c r="HV159" s="14"/>
      <c r="HW159" s="14"/>
      <c r="HX159" s="14"/>
      <c r="HY159" s="14"/>
      <c r="HZ159" s="14"/>
      <c r="IA159" s="14"/>
      <c r="IB159" s="14"/>
      <c r="IC159" s="14"/>
      <c r="ID159" s="14"/>
      <c r="IE159" s="14"/>
      <c r="IF159" s="14"/>
      <c r="IG159" s="14"/>
      <c r="IH159" s="14"/>
      <c r="II159" s="14"/>
      <c r="IJ159" s="14"/>
      <c r="IK159" s="14"/>
      <c r="IL159" s="14"/>
      <c r="IM159" s="14"/>
      <c r="IN159" s="14"/>
      <c r="IO159" s="14"/>
      <c r="IP159" s="14"/>
    </row>
    <row r="160" spans="1:250" s="1" customFormat="1" ht="41.1" customHeight="1">
      <c r="A160" s="851"/>
      <c r="B160" s="232" t="str">
        <f>IF(Contents!$B$2=2,"Liquids productions","Жидкие углеводороды")</f>
        <v>Liquids productions</v>
      </c>
      <c r="C160" s="186" t="str">
        <f>IF(Contents!$B$2=2,"mln tons","млн т")</f>
        <v>mln tons</v>
      </c>
      <c r="D160" s="168" t="s">
        <v>185</v>
      </c>
      <c r="E160" s="168" t="s">
        <v>185</v>
      </c>
      <c r="F160" s="168" t="s">
        <v>185</v>
      </c>
      <c r="G160" s="201">
        <v>11.8</v>
      </c>
      <c r="H160" s="201">
        <v>12.1</v>
      </c>
      <c r="I160" s="201">
        <v>12.2</v>
      </c>
      <c r="J160" s="201">
        <v>12.3</v>
      </c>
      <c r="K160" s="201">
        <v>11.899999999999999</v>
      </c>
      <c r="L160" s="201">
        <v>12.399999999999999</v>
      </c>
      <c r="M160" s="201">
        <v>13.8</v>
      </c>
      <c r="N160" s="242">
        <v>14.1</v>
      </c>
      <c r="O160" s="872"/>
      <c r="P160" s="558"/>
      <c r="Q160" s="29"/>
      <c r="R160" s="589"/>
      <c r="S160" s="589"/>
      <c r="T160" s="589"/>
      <c r="U160" s="589"/>
      <c r="V160" s="589"/>
      <c r="W160" s="558">
        <v>2</v>
      </c>
      <c r="X160" s="589"/>
      <c r="Y160" s="589"/>
      <c r="Z160" s="785"/>
      <c r="AA160" s="785"/>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c r="IJ160" s="14"/>
      <c r="IK160" s="14"/>
      <c r="IL160" s="14"/>
      <c r="IM160" s="14"/>
      <c r="IN160" s="14"/>
      <c r="IO160" s="14"/>
      <c r="IP160" s="14"/>
    </row>
    <row r="161" spans="1:250" s="1" customFormat="1">
      <c r="A161" s="851"/>
      <c r="B161" s="243" t="str">
        <f>IF(Contents!$B$2=2,"Crude oil","Нефть")</f>
        <v>Crude oil</v>
      </c>
      <c r="C161" s="186" t="str">
        <f>IF(Contents!$B$2=2,"mln tons","млн т")</f>
        <v>mln tons</v>
      </c>
      <c r="D161" s="168" t="s">
        <v>185</v>
      </c>
      <c r="E161" s="168" t="s">
        <v>185</v>
      </c>
      <c r="F161" s="168" t="s">
        <v>185</v>
      </c>
      <c r="G161" s="244">
        <v>4.8</v>
      </c>
      <c r="H161" s="244">
        <v>5.0999999999999996</v>
      </c>
      <c r="I161" s="244">
        <v>4.7</v>
      </c>
      <c r="J161" s="245">
        <v>4.2</v>
      </c>
      <c r="K161" s="245">
        <v>3.3</v>
      </c>
      <c r="L161" s="245">
        <v>2.8</v>
      </c>
      <c r="M161" s="245">
        <v>4.4000000000000004</v>
      </c>
      <c r="N161" s="242">
        <v>4.4000000000000004</v>
      </c>
      <c r="O161" s="817"/>
      <c r="P161" s="558"/>
      <c r="Q161" s="29"/>
      <c r="R161" s="589"/>
      <c r="S161" s="589"/>
      <c r="T161" s="589"/>
      <c r="U161" s="589"/>
      <c r="V161" s="589"/>
      <c r="W161" s="558">
        <v>2</v>
      </c>
      <c r="X161" s="589"/>
      <c r="Y161" s="589"/>
      <c r="Z161" s="785"/>
      <c r="AA161" s="785"/>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c r="IJ161" s="14"/>
      <c r="IK161" s="14"/>
      <c r="IL161" s="14"/>
      <c r="IM161" s="14"/>
      <c r="IN161" s="14"/>
      <c r="IO161" s="14"/>
      <c r="IP161" s="14"/>
    </row>
    <row r="162" spans="1:250" s="1" customFormat="1">
      <c r="A162" s="851"/>
      <c r="B162" s="243" t="str">
        <f>IF(Contents!$B$2=2,"Gas condensate","Газовый конденсат")</f>
        <v>Gas condensate</v>
      </c>
      <c r="C162" s="186" t="str">
        <f>IF(Contents!$B$2=2,"mln tons","млн т")</f>
        <v>mln tons</v>
      </c>
      <c r="D162" s="168" t="s">
        <v>185</v>
      </c>
      <c r="E162" s="168" t="s">
        <v>185</v>
      </c>
      <c r="F162" s="168" t="s">
        <v>185</v>
      </c>
      <c r="G162" s="244">
        <v>7</v>
      </c>
      <c r="H162" s="244">
        <v>7</v>
      </c>
      <c r="I162" s="244">
        <v>7.5</v>
      </c>
      <c r="J162" s="245">
        <v>8.1</v>
      </c>
      <c r="K162" s="245">
        <v>8.6</v>
      </c>
      <c r="L162" s="245">
        <v>9.6</v>
      </c>
      <c r="M162" s="245">
        <v>9.4</v>
      </c>
      <c r="N162" s="242">
        <v>9.6999999999999993</v>
      </c>
      <c r="O162" s="817"/>
      <c r="P162" s="558"/>
      <c r="Q162" s="29"/>
      <c r="R162" s="589"/>
      <c r="S162" s="589"/>
      <c r="T162" s="589"/>
      <c r="U162" s="589"/>
      <c r="V162" s="589"/>
      <c r="W162" s="558">
        <v>2</v>
      </c>
      <c r="X162" s="589"/>
      <c r="Y162" s="589"/>
      <c r="Z162" s="785"/>
      <c r="AA162" s="785"/>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c r="IJ162" s="14"/>
      <c r="IK162" s="14"/>
      <c r="IL162" s="14"/>
      <c r="IM162" s="14"/>
      <c r="IN162" s="14"/>
      <c r="IO162" s="14"/>
      <c r="IP162" s="14"/>
    </row>
    <row r="163" spans="1:250" s="1" customFormat="1">
      <c r="A163" s="851"/>
      <c r="B163" s="232" t="str">
        <f>IF(Contents!$B$2=2,"Oil","Нефть")</f>
        <v>Oil</v>
      </c>
      <c r="C163" s="186" t="str">
        <f>IF(Contents!$B$2=2,"th. tons / day","тыс. т / сут.")</f>
        <v>th. tons / day</v>
      </c>
      <c r="D163" s="168" t="s">
        <v>185</v>
      </c>
      <c r="E163" s="168" t="s">
        <v>185</v>
      </c>
      <c r="F163" s="168" t="s">
        <v>185</v>
      </c>
      <c r="G163" s="201">
        <v>13.2</v>
      </c>
      <c r="H163" s="201">
        <v>14</v>
      </c>
      <c r="I163" s="201">
        <v>12.9</v>
      </c>
      <c r="J163" s="201">
        <v>11.5</v>
      </c>
      <c r="K163" s="201">
        <v>9</v>
      </c>
      <c r="L163" s="201">
        <v>7.7</v>
      </c>
      <c r="M163" s="201">
        <v>12</v>
      </c>
      <c r="N163" s="242">
        <v>12</v>
      </c>
      <c r="O163" s="817"/>
      <c r="P163" s="558" t="str">
        <f>IF(Contents!$B$2=2,"Yes","Да")</f>
        <v>Yes</v>
      </c>
      <c r="Q163" s="29"/>
      <c r="R163" s="589"/>
      <c r="S163" s="465" t="s">
        <v>82</v>
      </c>
      <c r="T163" s="589"/>
      <c r="U163" s="589"/>
      <c r="V163" s="589"/>
      <c r="W163" s="558">
        <v>3</v>
      </c>
      <c r="X163" s="589"/>
      <c r="Y163" s="589"/>
      <c r="Z163" s="785"/>
      <c r="AA163" s="785"/>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row>
    <row r="164" spans="1:250" s="1" customFormat="1" ht="25.5">
      <c r="A164" s="851"/>
      <c r="B164" s="232" t="str">
        <f>IF(Contents!$B$2=2,"Natural gas","Природный газ")</f>
        <v>Natural gas</v>
      </c>
      <c r="C164" s="186" t="str">
        <f>IF(Contents!$B$2=2,"mln cubic meters / day","млн куб. м / сут.")</f>
        <v>mln cubic meters / day</v>
      </c>
      <c r="D164" s="168" t="s">
        <v>185</v>
      </c>
      <c r="E164" s="168" t="s">
        <v>185</v>
      </c>
      <c r="F164" s="168" t="s">
        <v>185</v>
      </c>
      <c r="G164" s="201">
        <v>188.5</v>
      </c>
      <c r="H164" s="201">
        <v>204.7</v>
      </c>
      <c r="I164" s="201">
        <v>212.1</v>
      </c>
      <c r="J164" s="201">
        <v>218.9</v>
      </c>
      <c r="K164" s="201">
        <v>224.9</v>
      </c>
      <c r="L164" s="201">
        <v>225.8</v>
      </c>
      <c r="M164" s="201">
        <v>229.8</v>
      </c>
      <c r="N164" s="242">
        <v>231.1</v>
      </c>
      <c r="O164" s="817"/>
      <c r="P164" s="558" t="str">
        <f>IF(Contents!$B$2=2,"Yes","Да")</f>
        <v>Yes</v>
      </c>
      <c r="Q164" s="29"/>
      <c r="R164" s="589"/>
      <c r="S164" s="465" t="s">
        <v>82</v>
      </c>
      <c r="T164" s="589"/>
      <c r="U164" s="589"/>
      <c r="V164" s="589"/>
      <c r="W164" s="558">
        <v>3</v>
      </c>
      <c r="X164" s="589"/>
      <c r="Y164" s="589"/>
      <c r="Z164" s="785"/>
      <c r="AA164" s="785"/>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row>
    <row r="165" spans="1:250" s="1" customFormat="1" ht="25.5">
      <c r="A165" s="851"/>
      <c r="B165" s="232" t="str">
        <f>IF(Contents!$B$2=2,"Synthetic oil","Синтетическая нефть")</f>
        <v>Synthetic oil</v>
      </c>
      <c r="C165" s="186" t="str">
        <f>IF(Contents!$B$2=2,"mln cubic meters / day","млн куб. м / сут.")</f>
        <v>mln cubic meters / day</v>
      </c>
      <c r="D165" s="201">
        <v>0</v>
      </c>
      <c r="E165" s="201">
        <v>0</v>
      </c>
      <c r="F165" s="201">
        <v>0</v>
      </c>
      <c r="G165" s="201">
        <v>0</v>
      </c>
      <c r="H165" s="201">
        <v>0</v>
      </c>
      <c r="I165" s="201">
        <v>0</v>
      </c>
      <c r="J165" s="201">
        <v>0</v>
      </c>
      <c r="K165" s="201">
        <v>0</v>
      </c>
      <c r="L165" s="240">
        <v>0</v>
      </c>
      <c r="M165" s="240">
        <v>0</v>
      </c>
      <c r="N165" s="242">
        <v>0</v>
      </c>
      <c r="O165" s="817"/>
      <c r="P165" s="558" t="str">
        <f>IF(Contents!$B$2=2,"Yes","Да")</f>
        <v>Yes</v>
      </c>
      <c r="Q165" s="29"/>
      <c r="R165" s="589"/>
      <c r="S165" s="465" t="s">
        <v>82</v>
      </c>
      <c r="T165" s="589"/>
      <c r="U165" s="589"/>
      <c r="V165" s="589"/>
      <c r="W165" s="558">
        <v>3</v>
      </c>
      <c r="X165" s="589"/>
      <c r="Y165" s="589"/>
      <c r="Z165" s="785"/>
      <c r="AA165" s="785"/>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c r="HM165" s="14"/>
      <c r="HN165" s="14"/>
      <c r="HO165" s="14"/>
      <c r="HP165" s="14"/>
      <c r="HQ165" s="14"/>
      <c r="HR165" s="14"/>
      <c r="HS165" s="14"/>
      <c r="HT165" s="14"/>
      <c r="HU165" s="14"/>
      <c r="HV165" s="14"/>
      <c r="HW165" s="14"/>
      <c r="HX165" s="14"/>
      <c r="HY165" s="14"/>
      <c r="HZ165" s="14"/>
      <c r="IA165" s="14"/>
      <c r="IB165" s="14"/>
      <c r="IC165" s="14"/>
      <c r="ID165" s="14"/>
      <c r="IE165" s="14"/>
      <c r="IF165" s="14"/>
      <c r="IG165" s="14"/>
      <c r="IH165" s="14"/>
      <c r="II165" s="14"/>
      <c r="IJ165" s="14"/>
      <c r="IK165" s="14"/>
      <c r="IL165" s="14"/>
      <c r="IM165" s="14"/>
      <c r="IN165" s="14"/>
      <c r="IO165" s="14"/>
      <c r="IP165" s="14"/>
    </row>
    <row r="166" spans="1:250" s="1" customFormat="1" ht="25.5">
      <c r="A166" s="851"/>
      <c r="B166" s="232" t="str">
        <f>IF(Contents!$B$2=2,"Synthetic gas","Синтетический газ")</f>
        <v>Synthetic gas</v>
      </c>
      <c r="C166" s="186" t="str">
        <f>IF(Contents!$B$2=2,"mln cubic meters / day","млн куб. м / сут.")</f>
        <v>mln cubic meters / day</v>
      </c>
      <c r="D166" s="201">
        <v>0</v>
      </c>
      <c r="E166" s="201">
        <v>0</v>
      </c>
      <c r="F166" s="201">
        <v>0</v>
      </c>
      <c r="G166" s="201">
        <v>0</v>
      </c>
      <c r="H166" s="201">
        <v>0</v>
      </c>
      <c r="I166" s="201">
        <v>0</v>
      </c>
      <c r="J166" s="201">
        <v>0</v>
      </c>
      <c r="K166" s="201">
        <v>0</v>
      </c>
      <c r="L166" s="240">
        <v>0</v>
      </c>
      <c r="M166" s="240">
        <v>0</v>
      </c>
      <c r="N166" s="242">
        <v>0</v>
      </c>
      <c r="O166" s="817"/>
      <c r="P166" s="558" t="str">
        <f>IF(Contents!$B$2=2,"Yes","Да")</f>
        <v>Yes</v>
      </c>
      <c r="Q166" s="29"/>
      <c r="R166" s="589"/>
      <c r="S166" s="465" t="s">
        <v>82</v>
      </c>
      <c r="T166" s="589"/>
      <c r="U166" s="589"/>
      <c r="V166" s="589"/>
      <c r="W166" s="558">
        <v>3</v>
      </c>
      <c r="X166" s="589"/>
      <c r="Y166" s="589"/>
      <c r="Z166" s="785"/>
      <c r="AA166" s="785"/>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c r="IL166" s="14"/>
      <c r="IM166" s="14"/>
      <c r="IN166" s="14"/>
      <c r="IO166" s="14"/>
      <c r="IP166" s="14"/>
    </row>
    <row r="167" spans="1:250" s="1" customFormat="1">
      <c r="A167" s="851"/>
      <c r="B167" s="246" t="str">
        <f>IF(Contents!$B$2=2,"Share of natural gas production","Доля добычи природного газа")</f>
        <v>Share of natural gas production</v>
      </c>
      <c r="C167" s="189" t="s">
        <v>0</v>
      </c>
      <c r="D167" s="168" t="s">
        <v>185</v>
      </c>
      <c r="E167" s="168" t="s">
        <v>185</v>
      </c>
      <c r="F167" s="201">
        <v>80.8</v>
      </c>
      <c r="G167" s="201">
        <v>82</v>
      </c>
      <c r="H167" s="201">
        <v>82.8</v>
      </c>
      <c r="I167" s="201">
        <v>83.2</v>
      </c>
      <c r="J167" s="240">
        <v>83.4</v>
      </c>
      <c r="K167" s="240">
        <v>84.1</v>
      </c>
      <c r="L167" s="240">
        <v>83.5</v>
      </c>
      <c r="M167" s="240">
        <v>82.5</v>
      </c>
      <c r="N167" s="242">
        <v>82.2</v>
      </c>
      <c r="O167" s="817"/>
      <c r="P167" s="558"/>
      <c r="Q167" s="29"/>
      <c r="R167" s="589"/>
      <c r="S167" s="589"/>
      <c r="T167" s="589"/>
      <c r="U167" s="589"/>
      <c r="V167" s="589"/>
      <c r="W167" s="558">
        <v>2</v>
      </c>
      <c r="X167" s="589"/>
      <c r="Y167" s="589"/>
      <c r="Z167" s="785"/>
      <c r="AA167" s="785"/>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c r="IL167" s="14"/>
      <c r="IM167" s="14"/>
      <c r="IN167" s="14"/>
      <c r="IO167" s="14"/>
      <c r="IP167" s="14"/>
    </row>
    <row r="168" spans="1:250" s="1" customFormat="1" ht="24.6" customHeight="1">
      <c r="A168" s="851"/>
      <c r="B168" s="246" t="str">
        <f>IF(Contents!$B$2=2,"Share of liquids production","Доля добычи жидких углеводородов")</f>
        <v>Share of liquids production</v>
      </c>
      <c r="C168" s="189" t="s">
        <v>0</v>
      </c>
      <c r="D168" s="168" t="s">
        <v>185</v>
      </c>
      <c r="E168" s="168" t="s">
        <v>185</v>
      </c>
      <c r="F168" s="240">
        <v>19.200000000000003</v>
      </c>
      <c r="G168" s="240">
        <v>18</v>
      </c>
      <c r="H168" s="240">
        <v>17.200000000000003</v>
      </c>
      <c r="I168" s="240">
        <v>16.799999999999997</v>
      </c>
      <c r="J168" s="240">
        <v>16.599999999999994</v>
      </c>
      <c r="K168" s="240">
        <v>15.887731330981767</v>
      </c>
      <c r="L168" s="240">
        <v>16.5</v>
      </c>
      <c r="M168" s="240">
        <v>17.5</v>
      </c>
      <c r="N168" s="242">
        <v>17.8</v>
      </c>
      <c r="O168" s="872"/>
      <c r="P168" s="558"/>
      <c r="Q168" s="29"/>
      <c r="R168" s="589"/>
      <c r="S168" s="589"/>
      <c r="T168" s="589"/>
      <c r="U168" s="589"/>
      <c r="V168" s="589"/>
      <c r="W168" s="558">
        <v>2</v>
      </c>
      <c r="X168" s="589"/>
      <c r="Y168" s="589"/>
      <c r="Z168" s="785"/>
      <c r="AA168" s="785"/>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c r="IJ168" s="14"/>
      <c r="IK168" s="14"/>
      <c r="IL168" s="14"/>
      <c r="IM168" s="14"/>
      <c r="IN168" s="14"/>
      <c r="IO168" s="14"/>
      <c r="IP168" s="14"/>
    </row>
    <row r="169" spans="1:250" s="1" customFormat="1">
      <c r="A169" s="851"/>
      <c r="B169" s="38"/>
      <c r="D169" s="543"/>
      <c r="E169" s="543"/>
      <c r="F169" s="543"/>
      <c r="G169" s="543"/>
      <c r="H169" s="37"/>
      <c r="I169" s="558"/>
      <c r="J169" s="37"/>
      <c r="K169" s="558"/>
      <c r="L169" s="557"/>
      <c r="M169" s="557"/>
      <c r="N169" s="558"/>
      <c r="O169" s="22"/>
      <c r="P169" s="589"/>
      <c r="Q169" s="22"/>
      <c r="R169" s="589"/>
      <c r="S169" s="589"/>
      <c r="T169" s="589"/>
      <c r="U169" s="589"/>
      <c r="V169" s="589"/>
      <c r="W169" s="558"/>
      <c r="X169" s="589"/>
      <c r="Y169" s="589"/>
      <c r="Z169" s="785"/>
      <c r="AA169" s="785"/>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c r="IJ169" s="14"/>
      <c r="IK169" s="14"/>
      <c r="IL169" s="14"/>
      <c r="IM169" s="14"/>
      <c r="IN169" s="14"/>
      <c r="IO169" s="14"/>
      <c r="IP169" s="14"/>
    </row>
    <row r="170" spans="1:250">
      <c r="B170" s="216" t="str">
        <f>IF(Contents!$B$2=2,"Proved hydrocarbon reserves (SEC)","Доказанные запасы углеводородов (SEC)")</f>
        <v>Proved hydrocarbon reserves (SEC)</v>
      </c>
      <c r="C170" s="175" t="str">
        <f>IF(Contents!$B$2=2,"mln boe","млн бнэ")</f>
        <v>mln boe</v>
      </c>
      <c r="D170" s="247">
        <v>12817</v>
      </c>
      <c r="E170" s="247">
        <v>12775</v>
      </c>
      <c r="F170" s="247">
        <v>15120</v>
      </c>
      <c r="G170" s="247">
        <v>15789</v>
      </c>
      <c r="H170" s="247">
        <v>16265</v>
      </c>
      <c r="I170" s="247">
        <v>16366</v>
      </c>
      <c r="J170" s="247">
        <v>16409</v>
      </c>
      <c r="K170" s="247">
        <v>17571</v>
      </c>
      <c r="L170" s="247">
        <v>17598</v>
      </c>
      <c r="M170" s="247">
        <v>17506</v>
      </c>
      <c r="N170" s="247">
        <v>16974</v>
      </c>
      <c r="O170" s="871"/>
      <c r="P170" s="558"/>
      <c r="Q170" s="29"/>
      <c r="W170" s="558">
        <v>2</v>
      </c>
    </row>
    <row r="171" spans="1:250">
      <c r="B171" s="23" t="str">
        <f>IF(Contents!$B$2=2,"by type","по видам")</f>
        <v>by type</v>
      </c>
      <c r="C171" s="248"/>
      <c r="D171" s="554"/>
      <c r="E171" s="554"/>
      <c r="F171" s="554"/>
      <c r="G171" s="554"/>
      <c r="H171" s="554"/>
      <c r="I171" s="554"/>
      <c r="J171" s="554"/>
      <c r="K171" s="554"/>
      <c r="L171" s="554"/>
      <c r="M171" s="554"/>
      <c r="N171" s="554"/>
      <c r="O171" s="781"/>
      <c r="P171" s="558"/>
      <c r="Q171" s="29"/>
      <c r="R171" s="590"/>
      <c r="S171" s="590"/>
      <c r="T171" s="590"/>
      <c r="U171" s="590"/>
      <c r="W171" s="558"/>
      <c r="Y171" s="595"/>
    </row>
    <row r="172" spans="1:250" s="1" customFormat="1">
      <c r="A172" s="851"/>
      <c r="B172" s="232" t="str">
        <f>IF(Contents!$B$2=2,"Natural gas","Природный газ")</f>
        <v>Natural gas</v>
      </c>
      <c r="C172" s="186" t="str">
        <f>IF(Contents!$B$2=2,"bln cubic meters","млрд куб. м")</f>
        <v>bln cubic meters</v>
      </c>
      <c r="D172" s="213">
        <v>1775</v>
      </c>
      <c r="E172" s="213">
        <v>1755</v>
      </c>
      <c r="F172" s="213">
        <v>2098</v>
      </c>
      <c r="G172" s="213">
        <v>2177</v>
      </c>
      <c r="H172" s="213">
        <v>2234</v>
      </c>
      <c r="I172" s="213">
        <v>2244</v>
      </c>
      <c r="J172" s="168">
        <v>2261</v>
      </c>
      <c r="K172" s="168">
        <v>2431</v>
      </c>
      <c r="L172" s="168">
        <v>2432</v>
      </c>
      <c r="M172" s="168">
        <v>2425</v>
      </c>
      <c r="N172" s="199">
        <v>2354</v>
      </c>
      <c r="O172" s="871"/>
      <c r="P172" s="558"/>
      <c r="Q172" s="29"/>
      <c r="R172" s="589"/>
      <c r="S172" s="589"/>
      <c r="T172" s="589"/>
      <c r="U172" s="589"/>
      <c r="V172" s="589"/>
      <c r="W172" s="558">
        <v>2</v>
      </c>
      <c r="X172" s="589"/>
      <c r="Y172" s="589"/>
      <c r="Z172" s="785"/>
      <c r="AA172" s="785"/>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row>
    <row r="173" spans="1:250" s="1" customFormat="1">
      <c r="A173" s="851"/>
      <c r="B173" s="232" t="str">
        <f>IF(Contents!$B$2=2,"Liquids productions","Жидкие углеводороды")</f>
        <v>Liquids productions</v>
      </c>
      <c r="C173" s="186" t="str">
        <f>IF(Contents!$B$2=2,"mln tons","млн т")</f>
        <v>mln tons</v>
      </c>
      <c r="D173" s="213">
        <v>143</v>
      </c>
      <c r="E173" s="213">
        <v>152</v>
      </c>
      <c r="F173" s="213">
        <v>164</v>
      </c>
      <c r="G173" s="213">
        <v>181</v>
      </c>
      <c r="H173" s="213">
        <v>193</v>
      </c>
      <c r="I173" s="213">
        <v>197</v>
      </c>
      <c r="J173" s="168">
        <v>189</v>
      </c>
      <c r="K173" s="168">
        <v>194</v>
      </c>
      <c r="L173" s="168">
        <v>197</v>
      </c>
      <c r="M173" s="168">
        <v>190</v>
      </c>
      <c r="N173" s="27">
        <v>182</v>
      </c>
      <c r="O173" s="871"/>
      <c r="P173" s="558"/>
      <c r="Q173" s="29"/>
      <c r="R173" s="589"/>
      <c r="S173" s="589"/>
      <c r="T173" s="589"/>
      <c r="U173" s="589"/>
      <c r="V173" s="589"/>
      <c r="W173" s="558">
        <v>2</v>
      </c>
      <c r="X173" s="589"/>
      <c r="Y173" s="589"/>
      <c r="Z173" s="785"/>
      <c r="AA173" s="785"/>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c r="HM173" s="14"/>
      <c r="HN173" s="14"/>
      <c r="HO173" s="14"/>
      <c r="HP173" s="14"/>
      <c r="HQ173" s="14"/>
      <c r="HR173" s="14"/>
      <c r="HS173" s="14"/>
      <c r="HT173" s="14"/>
      <c r="HU173" s="14"/>
      <c r="HV173" s="14"/>
      <c r="HW173" s="14"/>
      <c r="HX173" s="14"/>
      <c r="HY173" s="14"/>
      <c r="HZ173" s="14"/>
      <c r="IA173" s="14"/>
      <c r="IB173" s="14"/>
      <c r="IC173" s="14"/>
      <c r="ID173" s="14"/>
      <c r="IE173" s="14"/>
      <c r="IF173" s="14"/>
      <c r="IG173" s="14"/>
      <c r="IH173" s="14"/>
      <c r="II173" s="14"/>
      <c r="IJ173" s="14"/>
      <c r="IK173" s="14"/>
      <c r="IL173" s="14"/>
      <c r="IM173" s="14"/>
      <c r="IN173" s="14"/>
      <c r="IO173" s="14"/>
      <c r="IP173" s="14"/>
    </row>
    <row r="174" spans="1:250" s="1" customFormat="1">
      <c r="A174" s="851"/>
      <c r="B174" s="243" t="str">
        <f>IF(Contents!$B$2=2,"Crude oil","Нефть")</f>
        <v>Crude oil</v>
      </c>
      <c r="C174" s="186" t="str">
        <f>IF(Contents!$B$2=2,"mln tons","млн т")</f>
        <v>mln tons</v>
      </c>
      <c r="D174" s="168" t="s">
        <v>185</v>
      </c>
      <c r="E174" s="168" t="s">
        <v>185</v>
      </c>
      <c r="F174" s="168" t="s">
        <v>185</v>
      </c>
      <c r="G174" s="168" t="s">
        <v>185</v>
      </c>
      <c r="H174" s="168" t="s">
        <v>185</v>
      </c>
      <c r="I174" s="168" t="s">
        <v>185</v>
      </c>
      <c r="J174" s="168">
        <v>37</v>
      </c>
      <c r="K174" s="168">
        <v>35</v>
      </c>
      <c r="L174" s="168">
        <v>37</v>
      </c>
      <c r="M174" s="168">
        <v>34</v>
      </c>
      <c r="N174" s="27">
        <v>30</v>
      </c>
      <c r="O174" s="884"/>
      <c r="P174" s="558"/>
      <c r="Q174" s="29"/>
      <c r="R174" s="589"/>
      <c r="S174" s="589"/>
      <c r="T174" s="589"/>
      <c r="U174" s="589"/>
      <c r="V174" s="589"/>
      <c r="W174" s="558">
        <v>2</v>
      </c>
      <c r="X174" s="589"/>
      <c r="Y174" s="589"/>
      <c r="Z174" s="785"/>
      <c r="AA174" s="785"/>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c r="IL174" s="14"/>
      <c r="IM174" s="14"/>
      <c r="IN174" s="14"/>
      <c r="IO174" s="14"/>
      <c r="IP174" s="14"/>
    </row>
    <row r="175" spans="1:250" s="1" customFormat="1" ht="21.6" customHeight="1">
      <c r="A175" s="851"/>
      <c r="B175" s="243" t="str">
        <f>IF(Contents!$B$2=2,"Gas condensate","Газовый конденсат")</f>
        <v>Gas condensate</v>
      </c>
      <c r="C175" s="186" t="str">
        <f>IF(Contents!$B$2=2,"mln tons","млн т")</f>
        <v>mln tons</v>
      </c>
      <c r="D175" s="168" t="s">
        <v>185</v>
      </c>
      <c r="E175" s="168" t="s">
        <v>185</v>
      </c>
      <c r="F175" s="168" t="s">
        <v>185</v>
      </c>
      <c r="G175" s="168" t="s">
        <v>185</v>
      </c>
      <c r="H175" s="168" t="s">
        <v>185</v>
      </c>
      <c r="I175" s="168" t="s">
        <v>185</v>
      </c>
      <c r="J175" s="168">
        <v>152</v>
      </c>
      <c r="K175" s="168">
        <v>159</v>
      </c>
      <c r="L175" s="168">
        <v>160</v>
      </c>
      <c r="M175" s="168">
        <v>156</v>
      </c>
      <c r="N175" s="27">
        <v>152</v>
      </c>
      <c r="O175" s="884"/>
      <c r="P175" s="558"/>
      <c r="Q175" s="29"/>
      <c r="R175" s="589"/>
      <c r="S175" s="589"/>
      <c r="T175" s="589"/>
      <c r="U175" s="589"/>
      <c r="V175" s="589"/>
      <c r="W175" s="558">
        <v>2</v>
      </c>
      <c r="X175" s="589"/>
      <c r="Y175" s="589"/>
      <c r="Z175" s="785"/>
      <c r="AA175" s="785"/>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c r="IL175" s="14"/>
      <c r="IM175" s="14"/>
      <c r="IN175" s="14"/>
      <c r="IO175" s="14"/>
      <c r="IP175" s="14"/>
    </row>
    <row r="176" spans="1:250" s="1" customFormat="1">
      <c r="A176" s="851"/>
      <c r="B176" s="232" t="str">
        <f>IF(Contents!$B$2=2,"Oil sands","Нефтяные пески")</f>
        <v>Oil sands</v>
      </c>
      <c r="C176" s="178" t="str">
        <f>IF(Contents!$B$2=2,"mln boe","млн бнэ")</f>
        <v>mln boe</v>
      </c>
      <c r="D176" s="222">
        <v>0</v>
      </c>
      <c r="E176" s="222">
        <v>0</v>
      </c>
      <c r="F176" s="222">
        <v>0</v>
      </c>
      <c r="G176" s="222">
        <v>0</v>
      </c>
      <c r="H176" s="222">
        <v>0</v>
      </c>
      <c r="I176" s="222">
        <v>0</v>
      </c>
      <c r="J176" s="222">
        <v>0</v>
      </c>
      <c r="K176" s="222">
        <v>0</v>
      </c>
      <c r="L176" s="222">
        <v>0</v>
      </c>
      <c r="M176" s="222">
        <v>0</v>
      </c>
      <c r="N176" s="27">
        <v>0</v>
      </c>
      <c r="O176" s="884"/>
      <c r="P176" s="558"/>
      <c r="Q176" s="29"/>
      <c r="R176" s="465" t="s">
        <v>83</v>
      </c>
      <c r="S176" s="465"/>
      <c r="T176" s="589"/>
      <c r="U176" s="589"/>
      <c r="V176" s="589"/>
      <c r="W176" s="558">
        <v>2</v>
      </c>
      <c r="X176" s="589"/>
      <c r="Y176" s="589"/>
      <c r="Z176" s="785"/>
      <c r="AA176" s="785"/>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c r="IL176" s="14"/>
      <c r="IM176" s="14"/>
      <c r="IN176" s="14"/>
      <c r="IO176" s="14"/>
      <c r="IP176" s="14"/>
    </row>
    <row r="177" spans="1:250" s="1" customFormat="1">
      <c r="A177" s="851"/>
      <c r="B177" s="232" t="str">
        <f>IF(Contents!$B$2=2,"Tar sands","Битуминозные пески")</f>
        <v>Tar sands</v>
      </c>
      <c r="C177" s="178" t="str">
        <f>IF(Contents!$B$2=2,"mln boe","млн бнэ")</f>
        <v>mln boe</v>
      </c>
      <c r="D177" s="222">
        <v>0</v>
      </c>
      <c r="E177" s="222">
        <v>0</v>
      </c>
      <c r="F177" s="222">
        <v>0</v>
      </c>
      <c r="G177" s="222">
        <v>0</v>
      </c>
      <c r="H177" s="222">
        <v>0</v>
      </c>
      <c r="I177" s="222">
        <v>0</v>
      </c>
      <c r="J177" s="222">
        <v>0</v>
      </c>
      <c r="K177" s="222">
        <v>0</v>
      </c>
      <c r="L177" s="222">
        <v>0</v>
      </c>
      <c r="M177" s="222">
        <v>0</v>
      </c>
      <c r="N177" s="27">
        <v>0</v>
      </c>
      <c r="O177" s="884"/>
      <c r="P177" s="558"/>
      <c r="Q177" s="29"/>
      <c r="R177" s="465" t="s">
        <v>83</v>
      </c>
      <c r="S177" s="465"/>
      <c r="T177" s="589"/>
      <c r="U177" s="589"/>
      <c r="V177" s="589"/>
      <c r="W177" s="558">
        <v>2</v>
      </c>
      <c r="X177" s="589"/>
      <c r="Y177" s="589"/>
      <c r="Z177" s="785"/>
      <c r="AA177" s="785"/>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c r="IL177" s="14"/>
      <c r="IM177" s="14"/>
      <c r="IN177" s="14"/>
      <c r="IO177" s="14"/>
      <c r="IP177" s="14"/>
    </row>
    <row r="178" spans="1:250" s="1" customFormat="1">
      <c r="A178" s="851"/>
      <c r="B178" s="232" t="str">
        <f>IF(Contents!$B$2=2,"Heavy oil","Тяжелая нефть")</f>
        <v>Heavy oil</v>
      </c>
      <c r="C178" s="178" t="str">
        <f>IF(Contents!$B$2=2,"mln boe","млн бнэ")</f>
        <v>mln boe</v>
      </c>
      <c r="D178" s="222">
        <v>0</v>
      </c>
      <c r="E178" s="222">
        <v>0</v>
      </c>
      <c r="F178" s="222">
        <v>0</v>
      </c>
      <c r="G178" s="222">
        <v>0</v>
      </c>
      <c r="H178" s="222">
        <v>0</v>
      </c>
      <c r="I178" s="222">
        <v>0</v>
      </c>
      <c r="J178" s="222">
        <v>0</v>
      </c>
      <c r="K178" s="222">
        <v>0</v>
      </c>
      <c r="L178" s="222">
        <v>0</v>
      </c>
      <c r="M178" s="222">
        <v>0</v>
      </c>
      <c r="N178" s="27">
        <v>0</v>
      </c>
      <c r="O178" s="884"/>
      <c r="P178" s="558"/>
      <c r="Q178" s="29"/>
      <c r="R178" s="465" t="s">
        <v>83</v>
      </c>
      <c r="S178" s="465"/>
      <c r="T178" s="589"/>
      <c r="U178" s="589"/>
      <c r="V178" s="589"/>
      <c r="W178" s="558">
        <v>2</v>
      </c>
      <c r="X178" s="589"/>
      <c r="Y178" s="589"/>
      <c r="Z178" s="785"/>
      <c r="AA178" s="785"/>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c r="IJ178" s="14"/>
      <c r="IK178" s="14"/>
      <c r="IL178" s="14"/>
      <c r="IM178" s="14"/>
      <c r="IN178" s="14"/>
      <c r="IO178" s="14"/>
      <c r="IP178" s="14"/>
    </row>
    <row r="179" spans="1:250" s="1" customFormat="1">
      <c r="A179" s="851"/>
      <c r="B179" s="232" t="str">
        <f>IF(Contents!$B$2=2,"Tight / shale oil","Cланцевая нефть/Низкопроницаемые коллектора")</f>
        <v>Tight / shale oil</v>
      </c>
      <c r="C179" s="178" t="str">
        <f>IF(Contents!$B$2=2,"mln boe","млн бнэ")</f>
        <v>mln boe</v>
      </c>
      <c r="D179" s="222">
        <v>0</v>
      </c>
      <c r="E179" s="222">
        <v>0</v>
      </c>
      <c r="F179" s="222">
        <v>0</v>
      </c>
      <c r="G179" s="222">
        <v>0</v>
      </c>
      <c r="H179" s="222">
        <v>0</v>
      </c>
      <c r="I179" s="222">
        <v>0</v>
      </c>
      <c r="J179" s="222">
        <v>0</v>
      </c>
      <c r="K179" s="222">
        <v>0</v>
      </c>
      <c r="L179" s="222">
        <v>0</v>
      </c>
      <c r="M179" s="222">
        <v>0</v>
      </c>
      <c r="N179" s="27">
        <v>0</v>
      </c>
      <c r="O179" s="884"/>
      <c r="P179" s="558"/>
      <c r="Q179" s="29"/>
      <c r="R179" s="465" t="s">
        <v>83</v>
      </c>
      <c r="S179" s="465"/>
      <c r="T179" s="589"/>
      <c r="U179" s="589"/>
      <c r="V179" s="589"/>
      <c r="W179" s="558">
        <v>2</v>
      </c>
      <c r="X179" s="589"/>
      <c r="Y179" s="589"/>
      <c r="Z179" s="785"/>
      <c r="AA179" s="785"/>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c r="IL179" s="14"/>
      <c r="IM179" s="14"/>
      <c r="IN179" s="14"/>
      <c r="IO179" s="14"/>
      <c r="IP179" s="14"/>
    </row>
    <row r="180" spans="1:250" s="1" customFormat="1">
      <c r="A180" s="851"/>
      <c r="B180" s="232" t="str">
        <f>IF(Contents!$B$2=2,"Share of natural gas reserves","Доля запасов природного газа")</f>
        <v>Share of natural gas reserves</v>
      </c>
      <c r="C180" s="189" t="s">
        <v>0</v>
      </c>
      <c r="D180" s="168" t="s">
        <v>185</v>
      </c>
      <c r="E180" s="168" t="s">
        <v>185</v>
      </c>
      <c r="F180" s="201">
        <v>90.7</v>
      </c>
      <c r="G180" s="201">
        <v>90.2</v>
      </c>
      <c r="H180" s="201">
        <v>89.8</v>
      </c>
      <c r="I180" s="201">
        <v>89.7</v>
      </c>
      <c r="J180" s="240">
        <v>90.1</v>
      </c>
      <c r="K180" s="240">
        <v>90.5</v>
      </c>
      <c r="L180" s="240">
        <v>90.4</v>
      </c>
      <c r="M180" s="240">
        <v>90.6</v>
      </c>
      <c r="N180" s="28">
        <v>90.7</v>
      </c>
      <c r="O180" s="884"/>
      <c r="P180" s="558"/>
      <c r="Q180" s="29"/>
      <c r="R180" s="465"/>
      <c r="S180" s="465"/>
      <c r="T180" s="589"/>
      <c r="U180" s="589"/>
      <c r="V180" s="589"/>
      <c r="W180" s="558">
        <v>2</v>
      </c>
      <c r="X180" s="589"/>
      <c r="Y180" s="589"/>
      <c r="Z180" s="785"/>
      <c r="AA180" s="785"/>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c r="IJ180" s="14"/>
      <c r="IK180" s="14"/>
      <c r="IL180" s="14"/>
      <c r="IM180" s="14"/>
      <c r="IN180" s="14"/>
      <c r="IO180" s="14"/>
      <c r="IP180" s="14"/>
    </row>
    <row r="181" spans="1:250" s="1" customFormat="1">
      <c r="A181" s="851"/>
      <c r="B181" s="232" t="str">
        <f>IF(Contents!$B$2=2,"Share of liquids reserves","Доля запасов жидких углеводородов")</f>
        <v>Share of liquids reserves</v>
      </c>
      <c r="C181" s="189" t="s">
        <v>0</v>
      </c>
      <c r="D181" s="168" t="s">
        <v>185</v>
      </c>
      <c r="E181" s="168" t="s">
        <v>185</v>
      </c>
      <c r="F181" s="240">
        <v>9.2999999999999972</v>
      </c>
      <c r="G181" s="240">
        <v>9.7999999999999972</v>
      </c>
      <c r="H181" s="240">
        <v>10.200000000000003</v>
      </c>
      <c r="I181" s="240">
        <v>10.299999999999997</v>
      </c>
      <c r="J181" s="240">
        <v>9.9</v>
      </c>
      <c r="K181" s="240">
        <v>9.5</v>
      </c>
      <c r="L181" s="240">
        <v>9.6</v>
      </c>
      <c r="M181" s="240">
        <v>9.4</v>
      </c>
      <c r="N181" s="28">
        <v>9.3000000000000007</v>
      </c>
      <c r="O181" s="884"/>
      <c r="P181" s="558"/>
      <c r="Q181" s="29"/>
      <c r="R181" s="465"/>
      <c r="S181" s="465"/>
      <c r="T181" s="589" t="s">
        <v>52</v>
      </c>
      <c r="U181" s="589"/>
      <c r="V181" s="589"/>
      <c r="W181" s="558">
        <v>2</v>
      </c>
      <c r="X181" s="589"/>
      <c r="Y181" s="589"/>
      <c r="Z181" s="785"/>
      <c r="AA181" s="785"/>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c r="IL181" s="14"/>
      <c r="IM181" s="14"/>
      <c r="IN181" s="14"/>
      <c r="IO181" s="14"/>
      <c r="IP181" s="14"/>
    </row>
    <row r="182" spans="1:250">
      <c r="B182" s="249" t="str">
        <f>IF(Contents!$B$2=2,"by type of operations or location","по типу операций или месту расположения")</f>
        <v>by type of operations or location</v>
      </c>
      <c r="C182" s="220"/>
      <c r="D182" s="554"/>
      <c r="E182" s="554"/>
      <c r="F182" s="554"/>
      <c r="G182" s="554"/>
      <c r="H182" s="554"/>
      <c r="I182" s="554"/>
      <c r="J182" s="554"/>
      <c r="K182" s="554"/>
      <c r="L182" s="554"/>
      <c r="M182" s="554"/>
      <c r="N182" s="561"/>
      <c r="O182" s="22"/>
      <c r="Q182" s="29"/>
      <c r="R182" s="465"/>
      <c r="S182" s="465"/>
    </row>
    <row r="183" spans="1:250" s="1" customFormat="1">
      <c r="A183" s="851"/>
      <c r="B183" s="219" t="str">
        <f>IF(Contents!$B$2=2,"Arctic (onshore)","Арктика (суша)")</f>
        <v>Arctic (onshore)</v>
      </c>
      <c r="C183" s="178" t="str">
        <f>IF(Contents!$B$2=2,"mln boe","млн бнэ")</f>
        <v>mln boe</v>
      </c>
      <c r="D183" s="168" t="s">
        <v>185</v>
      </c>
      <c r="E183" s="168" t="s">
        <v>185</v>
      </c>
      <c r="F183" s="168" t="s">
        <v>185</v>
      </c>
      <c r="G183" s="168" t="s">
        <v>185</v>
      </c>
      <c r="H183" s="168" t="s">
        <v>185</v>
      </c>
      <c r="I183" s="168" t="s">
        <v>185</v>
      </c>
      <c r="J183" s="208">
        <v>16388</v>
      </c>
      <c r="K183" s="208">
        <v>17552</v>
      </c>
      <c r="L183" s="208">
        <v>17581</v>
      </c>
      <c r="M183" s="208">
        <v>17492</v>
      </c>
      <c r="N183" s="209">
        <v>16963</v>
      </c>
      <c r="O183" s="884"/>
      <c r="P183" s="558"/>
      <c r="Q183" s="29"/>
      <c r="R183" s="465" t="s">
        <v>52</v>
      </c>
      <c r="S183" s="465"/>
      <c r="T183" s="589"/>
      <c r="U183" s="589"/>
      <c r="V183" s="589"/>
      <c r="W183" s="558">
        <v>2</v>
      </c>
      <c r="X183" s="589"/>
      <c r="Y183" s="589"/>
      <c r="Z183" s="785"/>
      <c r="AA183" s="785"/>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c r="IJ183" s="14"/>
      <c r="IK183" s="14"/>
      <c r="IL183" s="14"/>
      <c r="IM183" s="14"/>
      <c r="IN183" s="14"/>
      <c r="IO183" s="14"/>
      <c r="IP183" s="14"/>
    </row>
    <row r="184" spans="1:250" s="1" customFormat="1">
      <c r="A184" s="851"/>
      <c r="B184" s="11" t="str">
        <f>IF(Contents!$B$2=2,"Arctic (offshore)","Арктика (шельф)")</f>
        <v>Arctic (offshore)</v>
      </c>
      <c r="C184" s="12" t="str">
        <f>IF(Contents!$B$2=2,"mln boe","млн бнэ")</f>
        <v>mln boe</v>
      </c>
      <c r="D184" s="213">
        <v>0</v>
      </c>
      <c r="E184" s="213">
        <v>0</v>
      </c>
      <c r="F184" s="213">
        <v>0</v>
      </c>
      <c r="G184" s="213">
        <v>0</v>
      </c>
      <c r="H184" s="213">
        <v>0</v>
      </c>
      <c r="I184" s="213">
        <v>0</v>
      </c>
      <c r="J184" s="208">
        <v>0</v>
      </c>
      <c r="K184" s="208">
        <v>0</v>
      </c>
      <c r="L184" s="208">
        <v>0</v>
      </c>
      <c r="M184" s="208">
        <v>0</v>
      </c>
      <c r="N184" s="789">
        <v>0</v>
      </c>
      <c r="O184" s="884"/>
      <c r="P184" s="558"/>
      <c r="Q184" s="29"/>
      <c r="R184" s="465"/>
      <c r="S184" s="465"/>
      <c r="T184" s="589"/>
      <c r="U184" s="589"/>
      <c r="V184" s="589"/>
      <c r="W184" s="558">
        <v>2</v>
      </c>
      <c r="X184" s="589"/>
      <c r="Y184" s="589"/>
      <c r="Z184" s="785"/>
      <c r="AA184" s="785"/>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c r="IJ184" s="14"/>
      <c r="IK184" s="14"/>
      <c r="IL184" s="14"/>
      <c r="IM184" s="14"/>
      <c r="IN184" s="14"/>
      <c r="IO184" s="14"/>
      <c r="IP184" s="14"/>
    </row>
    <row r="185" spans="1:250" s="1" customFormat="1">
      <c r="A185" s="851"/>
      <c r="B185" s="219" t="str">
        <f>IF(Contents!$B$2=2,"Located close to protected areas or to habitats of endangered species","Вблизи охраняемых территорий или мест обитания исчезающих видов")</f>
        <v>Located close to protected areas or to habitats of endangered species</v>
      </c>
      <c r="C185" s="178" t="str">
        <f>IF(Contents!$B$2=2,"mln boe","млн бнэ")</f>
        <v>mln boe</v>
      </c>
      <c r="D185" s="168" t="s">
        <v>185</v>
      </c>
      <c r="E185" s="168" t="s">
        <v>185</v>
      </c>
      <c r="F185" s="168" t="s">
        <v>185</v>
      </c>
      <c r="G185" s="168" t="s">
        <v>185</v>
      </c>
      <c r="H185" s="168" t="s">
        <v>185</v>
      </c>
      <c r="I185" s="168" t="s">
        <v>185</v>
      </c>
      <c r="J185" s="222">
        <v>142</v>
      </c>
      <c r="K185" s="208">
        <v>1278</v>
      </c>
      <c r="L185" s="208">
        <v>1449</v>
      </c>
      <c r="M185" s="208">
        <v>1527</v>
      </c>
      <c r="N185" s="209">
        <v>1508</v>
      </c>
      <c r="O185" s="884"/>
      <c r="P185" s="558"/>
      <c r="Q185" s="29"/>
      <c r="R185" s="465"/>
      <c r="S185" s="465"/>
      <c r="T185" s="589"/>
      <c r="U185" s="589"/>
      <c r="V185" s="589"/>
      <c r="W185" s="558">
        <v>2</v>
      </c>
      <c r="X185" s="589" t="s">
        <v>52</v>
      </c>
      <c r="Y185" s="589"/>
      <c r="Z185" s="785"/>
      <c r="AA185" s="785"/>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c r="HM185" s="14"/>
      <c r="HN185" s="14"/>
      <c r="HO185" s="14"/>
      <c r="HP185" s="14"/>
      <c r="HQ185" s="14"/>
      <c r="HR185" s="14"/>
      <c r="HS185" s="14"/>
      <c r="HT185" s="14"/>
      <c r="HU185" s="14"/>
      <c r="HV185" s="14"/>
      <c r="HW185" s="14"/>
      <c r="HX185" s="14"/>
      <c r="HY185" s="14"/>
      <c r="HZ185" s="14"/>
      <c r="IA185" s="14"/>
      <c r="IB185" s="14"/>
      <c r="IC185" s="14"/>
      <c r="ID185" s="14"/>
      <c r="IE185" s="14"/>
      <c r="IF185" s="14"/>
      <c r="IG185" s="14"/>
      <c r="IH185" s="14"/>
      <c r="II185" s="14"/>
      <c r="IJ185" s="14"/>
      <c r="IK185" s="14"/>
      <c r="IL185" s="14"/>
      <c r="IM185" s="14"/>
      <c r="IN185" s="14"/>
      <c r="IO185" s="14"/>
      <c r="IP185" s="14"/>
    </row>
    <row r="186" spans="1:250" s="1" customFormat="1">
      <c r="A186" s="851"/>
      <c r="B186" s="219" t="str">
        <f>IF(Contents!$B$2=2,"Transit zone (land/water area)","В прибрежной территории")</f>
        <v>Transit zone (land/water area)</v>
      </c>
      <c r="C186" s="178" t="str">
        <f>IF(Contents!$B$2=2,"mln boe","млн бнэ")</f>
        <v>mln boe</v>
      </c>
      <c r="D186" s="168" t="s">
        <v>185</v>
      </c>
      <c r="E186" s="168" t="s">
        <v>185</v>
      </c>
      <c r="F186" s="168" t="s">
        <v>185</v>
      </c>
      <c r="G186" s="168" t="s">
        <v>185</v>
      </c>
      <c r="H186" s="168" t="s">
        <v>185</v>
      </c>
      <c r="I186" s="168" t="s">
        <v>185</v>
      </c>
      <c r="J186" s="208">
        <v>7379</v>
      </c>
      <c r="K186" s="208">
        <v>7416</v>
      </c>
      <c r="L186" s="208">
        <v>7488</v>
      </c>
      <c r="M186" s="208">
        <v>7497</v>
      </c>
      <c r="N186" s="209">
        <v>7612</v>
      </c>
      <c r="O186" s="884"/>
      <c r="P186" s="558"/>
      <c r="Q186" s="29"/>
      <c r="R186" s="465"/>
      <c r="S186" s="465"/>
      <c r="T186" s="589"/>
      <c r="U186" s="589"/>
      <c r="V186" s="589"/>
      <c r="W186" s="558">
        <v>2</v>
      </c>
      <c r="X186" s="589"/>
      <c r="Y186" s="589"/>
      <c r="Z186" s="785"/>
      <c r="AA186" s="785"/>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c r="HM186" s="14"/>
      <c r="HN186" s="14"/>
      <c r="HO186" s="14"/>
      <c r="HP186" s="14"/>
      <c r="HQ186" s="14"/>
      <c r="HR186" s="14"/>
      <c r="HS186" s="14"/>
      <c r="HT186" s="14"/>
      <c r="HU186" s="14"/>
      <c r="HV186" s="14"/>
      <c r="HW186" s="14"/>
      <c r="HX186" s="14"/>
      <c r="HY186" s="14"/>
      <c r="HZ186" s="14"/>
      <c r="IA186" s="14"/>
      <c r="IB186" s="14"/>
      <c r="IC186" s="14"/>
      <c r="ID186" s="14"/>
      <c r="IE186" s="14"/>
      <c r="IF186" s="14"/>
      <c r="IG186" s="14"/>
      <c r="IH186" s="14"/>
      <c r="II186" s="14"/>
      <c r="IJ186" s="14"/>
      <c r="IK186" s="14"/>
      <c r="IL186" s="14"/>
      <c r="IM186" s="14"/>
      <c r="IN186" s="14"/>
      <c r="IO186" s="14"/>
      <c r="IP186" s="14"/>
    </row>
    <row r="187" spans="1:250" s="1" customFormat="1">
      <c r="A187" s="851"/>
      <c r="B187" s="219" t="str">
        <f>IF(Contents!$B$2=2,"Deep-water","Глубоководье")</f>
        <v>Deep-water</v>
      </c>
      <c r="C187" s="178" t="str">
        <f>IF(Contents!$B$2=2,"mln boe","млн бнэ")</f>
        <v>mln boe</v>
      </c>
      <c r="D187" s="213">
        <v>0</v>
      </c>
      <c r="E187" s="213">
        <v>0</v>
      </c>
      <c r="F187" s="213">
        <v>0</v>
      </c>
      <c r="G187" s="213">
        <v>0</v>
      </c>
      <c r="H187" s="213">
        <v>0</v>
      </c>
      <c r="I187" s="213">
        <v>0</v>
      </c>
      <c r="J187" s="222">
        <v>0</v>
      </c>
      <c r="K187" s="222">
        <v>0</v>
      </c>
      <c r="L187" s="222">
        <v>0</v>
      </c>
      <c r="M187" s="222">
        <v>0</v>
      </c>
      <c r="N187" s="200">
        <v>0</v>
      </c>
      <c r="O187" s="884"/>
      <c r="P187" s="558"/>
      <c r="Q187" s="29"/>
      <c r="R187" s="465"/>
      <c r="S187" s="465"/>
      <c r="T187" s="589"/>
      <c r="U187" s="589"/>
      <c r="V187" s="589"/>
      <c r="W187" s="558">
        <v>2</v>
      </c>
      <c r="X187" s="589"/>
      <c r="Y187" s="589"/>
      <c r="Z187" s="785"/>
      <c r="AA187" s="785"/>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c r="HM187" s="14"/>
      <c r="HN187" s="14"/>
      <c r="HO187" s="14"/>
      <c r="HP187" s="14"/>
      <c r="HQ187" s="14"/>
      <c r="HR187" s="14"/>
      <c r="HS187" s="14"/>
      <c r="HT187" s="14"/>
      <c r="HU187" s="14"/>
      <c r="HV187" s="14"/>
      <c r="HW187" s="14"/>
      <c r="HX187" s="14"/>
      <c r="HY187" s="14"/>
      <c r="HZ187" s="14"/>
      <c r="IA187" s="14"/>
      <c r="IB187" s="14"/>
      <c r="IC187" s="14"/>
      <c r="ID187" s="14"/>
      <c r="IE187" s="14"/>
      <c r="IF187" s="14"/>
      <c r="IG187" s="14"/>
      <c r="IH187" s="14"/>
      <c r="II187" s="14"/>
      <c r="IJ187" s="14"/>
      <c r="IK187" s="14"/>
      <c r="IL187" s="14"/>
      <c r="IM187" s="14"/>
      <c r="IN187" s="14"/>
      <c r="IO187" s="14"/>
      <c r="IP187" s="14"/>
    </row>
    <row r="188" spans="1:250" s="1" customFormat="1" ht="36">
      <c r="A188" s="851"/>
      <c r="B188" s="190" t="str">
        <f>IF(Contents!$B$2=2,"Percentage of proved reserves located in protected areas or habitats of endangered species","Доля доказанных запасов углеводородов, расположенных на охраняемых территориях или в местах обитания исчезающих видов")</f>
        <v>Percentage of proved reserves located in protected areas or habitats of endangered species</v>
      </c>
      <c r="C188" s="178" t="s">
        <v>0</v>
      </c>
      <c r="D188" s="231">
        <v>0</v>
      </c>
      <c r="E188" s="231">
        <v>0</v>
      </c>
      <c r="F188" s="231">
        <v>0</v>
      </c>
      <c r="G188" s="231">
        <v>0</v>
      </c>
      <c r="H188" s="231">
        <v>0</v>
      </c>
      <c r="I188" s="231">
        <v>0</v>
      </c>
      <c r="J188" s="231">
        <v>0</v>
      </c>
      <c r="K188" s="231">
        <v>0</v>
      </c>
      <c r="L188" s="231">
        <v>0</v>
      </c>
      <c r="M188" s="231">
        <v>0</v>
      </c>
      <c r="N188" s="789">
        <v>0</v>
      </c>
      <c r="O188" s="884"/>
      <c r="P188" s="558" t="str">
        <f>IF(Contents!$B$2=2,"Yes","Да")</f>
        <v>Yes</v>
      </c>
      <c r="Q188" s="29"/>
      <c r="R188" s="465"/>
      <c r="S188" s="465" t="s">
        <v>84</v>
      </c>
      <c r="T188" s="589"/>
      <c r="U188" s="589"/>
      <c r="V188" s="589"/>
      <c r="W188" s="558">
        <v>3</v>
      </c>
      <c r="X188" s="589"/>
      <c r="Y188" s="589"/>
      <c r="Z188" s="785"/>
      <c r="AA188" s="785"/>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c r="HM188" s="14"/>
      <c r="HN188" s="14"/>
      <c r="HO188" s="14"/>
      <c r="HP188" s="14"/>
      <c r="HQ188" s="14"/>
      <c r="HR188" s="14"/>
      <c r="HS188" s="14"/>
      <c r="HT188" s="14"/>
      <c r="HU188" s="14"/>
      <c r="HV188" s="14"/>
      <c r="HW188" s="14"/>
      <c r="HX188" s="14"/>
      <c r="HY188" s="14"/>
      <c r="HZ188" s="14"/>
      <c r="IA188" s="14"/>
      <c r="IB188" s="14"/>
      <c r="IC188" s="14"/>
      <c r="ID188" s="14"/>
      <c r="IE188" s="14"/>
      <c r="IF188" s="14"/>
      <c r="IG188" s="14"/>
      <c r="IH188" s="14"/>
      <c r="II188" s="14"/>
      <c r="IJ188" s="14"/>
      <c r="IK188" s="14"/>
      <c r="IL188" s="14"/>
      <c r="IM188" s="14"/>
      <c r="IN188" s="14"/>
      <c r="IO188" s="14"/>
      <c r="IP188" s="14"/>
    </row>
    <row r="189" spans="1:250" s="1" customFormat="1" ht="37.5" customHeight="1">
      <c r="A189" s="851"/>
      <c r="B189" s="190" t="str">
        <f>IF(Contents!$B$2=2,"Percentage of proved and probable reserves in or near areas of conflict","Доля доказанных и вероятных запасов углеводородов в границах или вблизи зон конфликтов")</f>
        <v>Percentage of proved and probable reserves in or near areas of conflict</v>
      </c>
      <c r="C189" s="180" t="s">
        <v>0</v>
      </c>
      <c r="D189" s="222">
        <v>0</v>
      </c>
      <c r="E189" s="222">
        <v>0</v>
      </c>
      <c r="F189" s="222">
        <v>0</v>
      </c>
      <c r="G189" s="222">
        <v>0</v>
      </c>
      <c r="H189" s="222">
        <v>0</v>
      </c>
      <c r="I189" s="222">
        <v>0</v>
      </c>
      <c r="J189" s="222">
        <v>0</v>
      </c>
      <c r="K189" s="222">
        <v>0</v>
      </c>
      <c r="L189" s="231">
        <v>0</v>
      </c>
      <c r="M189" s="231">
        <v>0</v>
      </c>
      <c r="N189" s="789">
        <v>0</v>
      </c>
      <c r="O189" s="884"/>
      <c r="P189" s="558" t="str">
        <f>IF(Contents!$B$2=2,"Yes","Да")</f>
        <v>Yes</v>
      </c>
      <c r="Q189" s="29"/>
      <c r="R189" s="465"/>
      <c r="S189" s="465" t="s">
        <v>85</v>
      </c>
      <c r="T189" s="589"/>
      <c r="U189" s="589"/>
      <c r="V189" s="589"/>
      <c r="W189" s="558">
        <v>3</v>
      </c>
      <c r="X189" s="589"/>
      <c r="Y189" s="589"/>
      <c r="Z189" s="785"/>
      <c r="AA189" s="785"/>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c r="HM189" s="14"/>
      <c r="HN189" s="14"/>
      <c r="HO189" s="14"/>
      <c r="HP189" s="14"/>
      <c r="HQ189" s="14"/>
      <c r="HR189" s="14"/>
      <c r="HS189" s="14"/>
      <c r="HT189" s="14"/>
      <c r="HU189" s="14"/>
      <c r="HV189" s="14"/>
      <c r="HW189" s="14"/>
      <c r="HX189" s="14"/>
      <c r="HY189" s="14"/>
      <c r="HZ189" s="14"/>
      <c r="IA189" s="14"/>
      <c r="IB189" s="14"/>
      <c r="IC189" s="14"/>
      <c r="ID189" s="14"/>
      <c r="IE189" s="14"/>
      <c r="IF189" s="14"/>
      <c r="IG189" s="14"/>
      <c r="IH189" s="14"/>
      <c r="II189" s="14"/>
      <c r="IJ189" s="14"/>
      <c r="IK189" s="14"/>
      <c r="IL189" s="14"/>
      <c r="IM189" s="14"/>
      <c r="IN189" s="14"/>
      <c r="IO189" s="14"/>
      <c r="IP189" s="14"/>
    </row>
    <row r="190" spans="1:250" s="1" customFormat="1" ht="32.1" customHeight="1">
      <c r="A190" s="851"/>
      <c r="B190" s="190" t="str">
        <f>IF(Contents!$B$2=2,"Percentage of proved and probable reserves in or near indigenous land","Доля доказанных и вероятных запасов углеводородов в границах или вблизи территорий проживания коренных народов")</f>
        <v>Percentage of proved and probable reserves in or near indigenous land</v>
      </c>
      <c r="C190" s="180" t="s">
        <v>0</v>
      </c>
      <c r="D190" s="168" t="s">
        <v>185</v>
      </c>
      <c r="E190" s="168" t="s">
        <v>185</v>
      </c>
      <c r="F190" s="168" t="s">
        <v>185</v>
      </c>
      <c r="G190" s="168" t="s">
        <v>185</v>
      </c>
      <c r="H190" s="168" t="s">
        <v>185</v>
      </c>
      <c r="I190" s="168" t="s">
        <v>185</v>
      </c>
      <c r="J190" s="168" t="s">
        <v>185</v>
      </c>
      <c r="K190" s="222">
        <v>100</v>
      </c>
      <c r="L190" s="222">
        <v>100</v>
      </c>
      <c r="M190" s="222">
        <v>100</v>
      </c>
      <c r="N190" s="200">
        <v>100</v>
      </c>
      <c r="O190" s="884"/>
      <c r="P190" s="558" t="str">
        <f>IF(Contents!$B$2=2,"Yes","Да")</f>
        <v>Yes</v>
      </c>
      <c r="Q190" s="29"/>
      <c r="R190" s="465"/>
      <c r="S190" s="465" t="s">
        <v>86</v>
      </c>
      <c r="T190" s="589"/>
      <c r="U190" s="589"/>
      <c r="V190" s="589"/>
      <c r="W190" s="558">
        <v>3</v>
      </c>
      <c r="X190" s="589"/>
      <c r="Y190" s="589"/>
      <c r="Z190" s="785"/>
      <c r="AA190" s="785"/>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c r="HM190" s="14"/>
      <c r="HN190" s="14"/>
      <c r="HO190" s="14"/>
      <c r="HP190" s="14"/>
      <c r="HQ190" s="14"/>
      <c r="HR190" s="14"/>
      <c r="HS190" s="14"/>
      <c r="HT190" s="14"/>
      <c r="HU190" s="14"/>
      <c r="HV190" s="14"/>
      <c r="HW190" s="14"/>
      <c r="HX190" s="14"/>
      <c r="HY190" s="14"/>
      <c r="HZ190" s="14"/>
      <c r="IA190" s="14"/>
      <c r="IB190" s="14"/>
      <c r="IC190" s="14"/>
      <c r="ID190" s="14"/>
      <c r="IE190" s="14"/>
      <c r="IF190" s="14"/>
      <c r="IG190" s="14"/>
      <c r="IH190" s="14"/>
      <c r="II190" s="14"/>
      <c r="IJ190" s="14"/>
      <c r="IK190" s="14"/>
      <c r="IL190" s="14"/>
      <c r="IM190" s="14"/>
      <c r="IN190" s="14"/>
      <c r="IO190" s="14"/>
      <c r="IP190" s="14"/>
    </row>
    <row r="191" spans="1:250" s="1" customFormat="1" ht="19.5" customHeight="1">
      <c r="A191" s="851"/>
      <c r="B191" s="190"/>
      <c r="C191" s="180"/>
      <c r="D191" s="168"/>
      <c r="E191" s="168"/>
      <c r="F191" s="168"/>
      <c r="G191" s="168"/>
      <c r="H191" s="168"/>
      <c r="I191" s="168"/>
      <c r="J191" s="168"/>
      <c r="K191" s="222"/>
      <c r="L191" s="222"/>
      <c r="M191" s="222"/>
      <c r="N191" s="222"/>
      <c r="O191" s="884"/>
      <c r="P191" s="558"/>
      <c r="Q191" s="29"/>
      <c r="R191" s="465"/>
      <c r="S191" s="465"/>
      <c r="T191" s="589"/>
      <c r="U191" s="589"/>
      <c r="V191" s="589"/>
      <c r="W191" s="558"/>
      <c r="X191" s="589"/>
      <c r="Y191" s="589"/>
      <c r="Z191" s="785"/>
      <c r="AA191" s="785"/>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c r="HM191" s="14"/>
      <c r="HN191" s="14"/>
      <c r="HO191" s="14"/>
      <c r="HP191" s="14"/>
      <c r="HQ191" s="14"/>
      <c r="HR191" s="14"/>
      <c r="HS191" s="14"/>
      <c r="HT191" s="14"/>
      <c r="HU191" s="14"/>
      <c r="HV191" s="14"/>
      <c r="HW191" s="14"/>
      <c r="HX191" s="14"/>
      <c r="HY191" s="14"/>
      <c r="HZ191" s="14"/>
      <c r="IA191" s="14"/>
      <c r="IB191" s="14"/>
      <c r="IC191" s="14"/>
      <c r="ID191" s="14"/>
      <c r="IE191" s="14"/>
      <c r="IF191" s="14"/>
      <c r="IG191" s="14"/>
      <c r="IH191" s="14"/>
      <c r="II191" s="14"/>
      <c r="IJ191" s="14"/>
      <c r="IK191" s="14"/>
      <c r="IL191" s="14"/>
      <c r="IM191" s="14"/>
      <c r="IN191" s="14"/>
      <c r="IO191" s="14"/>
      <c r="IP191" s="14"/>
    </row>
    <row r="192" spans="1:250" s="1" customFormat="1">
      <c r="A192" s="851"/>
      <c r="B192" s="25" t="str">
        <f>IF(Contents!$B$2=2,"Notes:","Примечания:")</f>
        <v>Notes:</v>
      </c>
      <c r="C192" s="180"/>
      <c r="D192" s="543"/>
      <c r="E192" s="543"/>
      <c r="F192" s="543"/>
      <c r="G192" s="543"/>
      <c r="H192" s="37"/>
      <c r="I192" s="558"/>
      <c r="J192" s="37"/>
      <c r="K192" s="558"/>
      <c r="L192" s="557"/>
      <c r="M192" s="557"/>
      <c r="N192" s="558"/>
      <c r="O192" s="884"/>
      <c r="P192" s="589"/>
      <c r="Q192" s="22"/>
      <c r="R192" s="465"/>
      <c r="S192" s="465"/>
      <c r="T192" s="589"/>
      <c r="U192" s="589"/>
      <c r="V192" s="589"/>
      <c r="W192" s="589"/>
      <c r="X192" s="589"/>
      <c r="Y192" s="589"/>
      <c r="Z192" s="785"/>
      <c r="AA192" s="785"/>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c r="HM192" s="14"/>
      <c r="HN192" s="14"/>
      <c r="HO192" s="14"/>
      <c r="HP192" s="14"/>
      <c r="HQ192" s="14"/>
      <c r="HR192" s="14"/>
      <c r="HS192" s="14"/>
      <c r="HT192" s="14"/>
      <c r="HU192" s="14"/>
      <c r="HV192" s="14"/>
      <c r="HW192" s="14"/>
      <c r="HX192" s="14"/>
      <c r="HY192" s="14"/>
      <c r="HZ192" s="14"/>
      <c r="IA192" s="14"/>
      <c r="IB192" s="14"/>
      <c r="IC192" s="14"/>
      <c r="ID192" s="14"/>
      <c r="IE192" s="14"/>
      <c r="IF192" s="14"/>
      <c r="IG192" s="14"/>
      <c r="IH192" s="14"/>
      <c r="II192" s="14"/>
      <c r="IJ192" s="14"/>
      <c r="IK192" s="14"/>
      <c r="IL192" s="14"/>
      <c r="IM192" s="14"/>
      <c r="IN192" s="14"/>
      <c r="IO192" s="14"/>
      <c r="IP192" s="14"/>
    </row>
    <row r="193" spans="1:250" s="1" customFormat="1">
      <c r="A193" s="851"/>
      <c r="B193" s="26" t="str">
        <f>IF(Contents!$B$2=2,"Calculation of estimated greenhouse gas emissions from proven reserves is based on the WRI methodology (calculated for natural gas, oil and gas condensate reserves).","Расчет потенциальных выбросов парниковых газов по доказанным запасам основан на методике WRI (рассчитано по запасам природного газа, нефти и газового конденсата).")</f>
        <v>Calculation of estimated greenhouse gas emissions from proven reserves is based on the WRI methodology (calculated for natural gas, oil and gas condensate reserves).</v>
      </c>
      <c r="C193" s="180"/>
      <c r="D193" s="543"/>
      <c r="E193" s="543"/>
      <c r="F193" s="543"/>
      <c r="G193" s="543"/>
      <c r="H193" s="37"/>
      <c r="I193" s="558"/>
      <c r="J193" s="37"/>
      <c r="K193" s="558"/>
      <c r="L193" s="557"/>
      <c r="M193" s="557"/>
      <c r="N193" s="558"/>
      <c r="O193" s="22"/>
      <c r="P193" s="589"/>
      <c r="Q193" s="22"/>
      <c r="R193" s="465"/>
      <c r="S193" s="465"/>
      <c r="T193" s="589"/>
      <c r="U193" s="589"/>
      <c r="V193" s="589"/>
      <c r="W193" s="589"/>
      <c r="X193" s="589"/>
      <c r="Y193" s="589"/>
      <c r="Z193" s="785"/>
      <c r="AA193" s="785"/>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c r="HN193" s="14"/>
      <c r="HO193" s="14"/>
      <c r="HP193" s="14"/>
      <c r="HQ193" s="14"/>
      <c r="HR193" s="14"/>
      <c r="HS193" s="14"/>
      <c r="HT193" s="14"/>
      <c r="HU193" s="14"/>
      <c r="HV193" s="14"/>
      <c r="HW193" s="14"/>
      <c r="HX193" s="14"/>
      <c r="HY193" s="14"/>
      <c r="HZ193" s="14"/>
      <c r="IA193" s="14"/>
      <c r="IB193" s="14"/>
      <c r="IC193" s="14"/>
      <c r="ID193" s="14"/>
      <c r="IE193" s="14"/>
      <c r="IF193" s="14"/>
      <c r="IG193" s="14"/>
      <c r="IH193" s="14"/>
      <c r="II193" s="14"/>
      <c r="IJ193" s="14"/>
      <c r="IK193" s="14"/>
      <c r="IL193" s="14"/>
      <c r="IM193" s="14"/>
      <c r="IN193" s="14"/>
      <c r="IO193" s="14"/>
      <c r="IP193" s="14"/>
    </row>
    <row r="194" spans="1:250" s="1" customFormat="1">
      <c r="A194" s="851"/>
      <c r="B194" s="190"/>
      <c r="C194" s="180"/>
      <c r="D194" s="543"/>
      <c r="E194" s="543"/>
      <c r="F194" s="543"/>
      <c r="G194" s="543"/>
      <c r="H194" s="37"/>
      <c r="I194" s="558"/>
      <c r="J194" s="37"/>
      <c r="K194" s="558"/>
      <c r="L194" s="557"/>
      <c r="M194" s="557"/>
      <c r="N194" s="558"/>
      <c r="O194" s="22"/>
      <c r="P194" s="589"/>
      <c r="Q194" s="22"/>
      <c r="R194" s="465"/>
      <c r="S194" s="465"/>
      <c r="T194" s="589"/>
      <c r="U194" s="589"/>
      <c r="V194" s="589"/>
      <c r="W194" s="589"/>
      <c r="X194" s="589"/>
      <c r="Y194" s="589"/>
      <c r="Z194" s="785"/>
      <c r="AA194" s="785"/>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c r="IJ194" s="14"/>
      <c r="IK194" s="14"/>
      <c r="IL194" s="14"/>
      <c r="IM194" s="14"/>
      <c r="IN194" s="14"/>
      <c r="IO194" s="14"/>
      <c r="IP194" s="14"/>
    </row>
    <row r="195" spans="1:250">
      <c r="B195" s="181" t="str">
        <f>IF(Contents!$B$2=2,"Licence areas","Лицензионные участки")</f>
        <v>Licence areas</v>
      </c>
      <c r="C195" s="217"/>
      <c r="D195" s="247" t="s">
        <v>185</v>
      </c>
      <c r="E195" s="247" t="s">
        <v>185</v>
      </c>
      <c r="F195" s="247" t="s">
        <v>185</v>
      </c>
      <c r="G195" s="247" t="s">
        <v>185</v>
      </c>
      <c r="H195" s="247" t="s">
        <v>185</v>
      </c>
      <c r="I195" s="250">
        <v>72</v>
      </c>
      <c r="J195" s="250">
        <v>79</v>
      </c>
      <c r="K195" s="250">
        <v>83</v>
      </c>
      <c r="L195" s="250">
        <v>83</v>
      </c>
      <c r="M195" s="250">
        <v>82</v>
      </c>
      <c r="N195" s="250">
        <v>82</v>
      </c>
      <c r="O195" s="817"/>
      <c r="P195" s="558" t="str">
        <f>IF(Contents!$B$2=2,"Yes","Да")</f>
        <v>Yes</v>
      </c>
      <c r="Q195" s="29"/>
      <c r="R195" s="465"/>
      <c r="S195" s="465"/>
      <c r="W195" s="558">
        <v>3</v>
      </c>
      <c r="X195" s="558"/>
    </row>
    <row r="196" spans="1:250">
      <c r="B196" s="249" t="str">
        <f>IF(Contents!$B$2=2,"by location","по месту расположения")</f>
        <v>by location</v>
      </c>
      <c r="C196" s="220"/>
      <c r="D196" s="554"/>
      <c r="E196" s="554"/>
      <c r="F196" s="554"/>
      <c r="G196" s="554"/>
      <c r="H196" s="554"/>
      <c r="I196" s="554"/>
      <c r="J196" s="554"/>
      <c r="K196" s="554"/>
      <c r="L196" s="554"/>
      <c r="M196" s="554"/>
      <c r="N196" s="554"/>
      <c r="O196" s="22"/>
      <c r="P196" s="558"/>
      <c r="Q196" s="29"/>
      <c r="R196" s="465"/>
      <c r="S196" s="465"/>
    </row>
    <row r="197" spans="1:250" s="1" customFormat="1" ht="24" customHeight="1">
      <c r="A197" s="851"/>
      <c r="B197" s="232" t="str">
        <f>IF(Contents!$B$2=2,"Licence areas located completely in water areas ","Лицензионные участки, полностью расположенные в акваториях")</f>
        <v xml:space="preserve">Licence areas located completely in water areas </v>
      </c>
      <c r="C197" s="12" t="str">
        <f>IF(Contents!$B$2=2,"unit","ед.")</f>
        <v>unit</v>
      </c>
      <c r="D197" s="168" t="s">
        <v>185</v>
      </c>
      <c r="E197" s="168" t="s">
        <v>185</v>
      </c>
      <c r="F197" s="168" t="s">
        <v>185</v>
      </c>
      <c r="G197" s="168" t="s">
        <v>185</v>
      </c>
      <c r="H197" s="168" t="s">
        <v>185</v>
      </c>
      <c r="I197" s="222">
        <v>2</v>
      </c>
      <c r="J197" s="222">
        <v>3</v>
      </c>
      <c r="K197" s="222">
        <v>4</v>
      </c>
      <c r="L197" s="222">
        <v>4</v>
      </c>
      <c r="M197" s="222">
        <v>4</v>
      </c>
      <c r="N197" s="200">
        <v>4</v>
      </c>
      <c r="O197" s="22"/>
      <c r="P197" s="558" t="str">
        <f>IF(Contents!$B$2=2,"Yes","Да")</f>
        <v>Yes</v>
      </c>
      <c r="Q197" s="29"/>
      <c r="R197" s="465"/>
      <c r="S197" s="465" t="s">
        <v>87</v>
      </c>
      <c r="T197" s="589"/>
      <c r="U197" s="589"/>
      <c r="V197" s="589"/>
      <c r="W197" s="558">
        <v>3</v>
      </c>
      <c r="X197" s="589"/>
      <c r="Y197" s="589"/>
      <c r="Z197" s="785"/>
      <c r="AA197" s="785"/>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c r="IJ197" s="14"/>
      <c r="IK197" s="14"/>
      <c r="IL197" s="14"/>
      <c r="IM197" s="14"/>
      <c r="IN197" s="14"/>
      <c r="IO197" s="14"/>
      <c r="IP197" s="14"/>
    </row>
    <row r="198" spans="1:250" s="1" customFormat="1" ht="24" customHeight="1">
      <c r="A198" s="851"/>
      <c r="B198" s="232" t="str">
        <f>IF(Contents!$B$2=2,"Licence areas located in the transit zone","Лицензионные участки, расположенные в транзитной зоне")</f>
        <v>Licence areas located in the transit zone</v>
      </c>
      <c r="C198" s="12" t="str">
        <f>IF(Contents!$B$2=2,"unit","ед.")</f>
        <v>unit</v>
      </c>
      <c r="D198" s="168" t="s">
        <v>185</v>
      </c>
      <c r="E198" s="168" t="s">
        <v>185</v>
      </c>
      <c r="F198" s="168" t="s">
        <v>185</v>
      </c>
      <c r="G198" s="168" t="s">
        <v>185</v>
      </c>
      <c r="H198" s="168" t="s">
        <v>185</v>
      </c>
      <c r="I198" s="222">
        <v>0</v>
      </c>
      <c r="J198" s="213">
        <v>0</v>
      </c>
      <c r="K198" s="222">
        <v>8</v>
      </c>
      <c r="L198" s="222">
        <v>8</v>
      </c>
      <c r="M198" s="222">
        <v>8</v>
      </c>
      <c r="N198" s="200">
        <v>8</v>
      </c>
      <c r="O198" s="22"/>
      <c r="P198" s="558" t="str">
        <f>IF(Contents!$B$2=2,"Yes","Да")</f>
        <v>Yes</v>
      </c>
      <c r="Q198" s="29"/>
      <c r="R198" s="465"/>
      <c r="S198" s="465" t="s">
        <v>87</v>
      </c>
      <c r="T198" s="589"/>
      <c r="U198" s="589"/>
      <c r="V198" s="589"/>
      <c r="W198" s="558">
        <v>3</v>
      </c>
      <c r="X198" s="589"/>
      <c r="Y198" s="589"/>
      <c r="Z198" s="785"/>
      <c r="AA198" s="785"/>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c r="IJ198" s="14"/>
      <c r="IK198" s="14"/>
      <c r="IL198" s="14"/>
      <c r="IM198" s="14"/>
      <c r="IN198" s="14"/>
      <c r="IO198" s="14"/>
      <c r="IP198" s="14"/>
    </row>
    <row r="199" spans="1:250" s="1" customFormat="1" ht="24" customHeight="1">
      <c r="A199" s="851"/>
      <c r="B199" s="232" t="str">
        <f>IF(Contents!$B$2=2,"Licence areas located on land","Лицензионные участки, расположенные на суше")</f>
        <v>Licence areas located on land</v>
      </c>
      <c r="C199" s="12" t="str">
        <f>IF(Contents!$B$2=2,"unit","ед.")</f>
        <v>unit</v>
      </c>
      <c r="D199" s="168" t="s">
        <v>185</v>
      </c>
      <c r="E199" s="168" t="s">
        <v>185</v>
      </c>
      <c r="F199" s="168" t="s">
        <v>185</v>
      </c>
      <c r="G199" s="168" t="s">
        <v>185</v>
      </c>
      <c r="H199" s="168" t="s">
        <v>185</v>
      </c>
      <c r="I199" s="222">
        <v>70</v>
      </c>
      <c r="J199" s="222">
        <v>76</v>
      </c>
      <c r="K199" s="222">
        <v>71</v>
      </c>
      <c r="L199" s="222">
        <v>71</v>
      </c>
      <c r="M199" s="222">
        <v>70</v>
      </c>
      <c r="N199" s="200">
        <v>70</v>
      </c>
      <c r="O199" s="22"/>
      <c r="P199" s="558" t="str">
        <f>IF(Contents!$B$2=2,"Yes","Да")</f>
        <v>Yes</v>
      </c>
      <c r="Q199" s="29"/>
      <c r="R199" s="465"/>
      <c r="S199" s="465" t="s">
        <v>88</v>
      </c>
      <c r="T199" s="589"/>
      <c r="U199" s="589"/>
      <c r="V199" s="589"/>
      <c r="W199" s="558">
        <v>3</v>
      </c>
      <c r="X199" s="589"/>
      <c r="Y199" s="589"/>
      <c r="Z199" s="785"/>
      <c r="AA199" s="785"/>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14"/>
      <c r="HE199" s="14"/>
      <c r="HF199" s="14"/>
      <c r="HG199" s="14"/>
      <c r="HH199" s="14"/>
      <c r="HI199" s="14"/>
      <c r="HJ199" s="14"/>
      <c r="HK199" s="14"/>
      <c r="HL199" s="14"/>
      <c r="HM199" s="14"/>
      <c r="HN199" s="14"/>
      <c r="HO199" s="14"/>
      <c r="HP199" s="14"/>
      <c r="HQ199" s="14"/>
      <c r="HR199" s="14"/>
      <c r="HS199" s="14"/>
      <c r="HT199" s="14"/>
      <c r="HU199" s="14"/>
      <c r="HV199" s="14"/>
      <c r="HW199" s="14"/>
      <c r="HX199" s="14"/>
      <c r="HY199" s="14"/>
      <c r="HZ199" s="14"/>
      <c r="IA199" s="14"/>
      <c r="IB199" s="14"/>
      <c r="IC199" s="14"/>
      <c r="ID199" s="14"/>
      <c r="IE199" s="14"/>
      <c r="IF199" s="14"/>
      <c r="IG199" s="14"/>
      <c r="IH199" s="14"/>
      <c r="II199" s="14"/>
      <c r="IJ199" s="14"/>
      <c r="IK199" s="14"/>
      <c r="IL199" s="14"/>
      <c r="IM199" s="14"/>
      <c r="IN199" s="14"/>
      <c r="IO199" s="14"/>
      <c r="IP199" s="14"/>
    </row>
    <row r="200" spans="1:250" s="1" customFormat="1">
      <c r="A200" s="851"/>
      <c r="B200" s="190"/>
      <c r="C200" s="180"/>
      <c r="D200" s="213"/>
      <c r="E200" s="213"/>
      <c r="F200" s="213"/>
      <c r="G200" s="213"/>
      <c r="H200" s="213"/>
      <c r="I200" s="558"/>
      <c r="J200" s="37"/>
      <c r="K200" s="558"/>
      <c r="L200" s="557"/>
      <c r="M200" s="557"/>
      <c r="N200" s="557"/>
      <c r="O200" s="22"/>
      <c r="P200" s="589"/>
      <c r="Q200" s="22"/>
      <c r="R200" s="465"/>
      <c r="S200" s="465"/>
      <c r="T200" s="589"/>
      <c r="U200" s="589"/>
      <c r="V200" s="589"/>
      <c r="W200" s="589"/>
      <c r="X200" s="589"/>
      <c r="Y200" s="589"/>
      <c r="Z200" s="785"/>
      <c r="AA200" s="785"/>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c r="HS200" s="14"/>
      <c r="HT200" s="14"/>
      <c r="HU200" s="14"/>
      <c r="HV200" s="14"/>
      <c r="HW200" s="14"/>
      <c r="HX200" s="14"/>
      <c r="HY200" s="14"/>
      <c r="HZ200" s="14"/>
      <c r="IA200" s="14"/>
      <c r="IB200" s="14"/>
      <c r="IC200" s="14"/>
      <c r="ID200" s="14"/>
      <c r="IE200" s="14"/>
      <c r="IF200" s="14"/>
      <c r="IG200" s="14"/>
      <c r="IH200" s="14"/>
      <c r="II200" s="14"/>
      <c r="IJ200" s="14"/>
      <c r="IK200" s="14"/>
      <c r="IL200" s="14"/>
      <c r="IM200" s="14"/>
      <c r="IN200" s="14"/>
      <c r="IO200" s="14"/>
      <c r="IP200" s="14"/>
    </row>
    <row r="201" spans="1:250" s="1" customFormat="1">
      <c r="A201" s="851"/>
      <c r="B201" s="25" t="str">
        <f>IF(Contents!$B$2=2,"Notes:","Примечания:")</f>
        <v>Notes:</v>
      </c>
      <c r="C201" s="180"/>
      <c r="D201" s="543"/>
      <c r="E201" s="543"/>
      <c r="F201" s="543"/>
      <c r="G201" s="543"/>
      <c r="H201" s="37"/>
      <c r="I201" s="558"/>
      <c r="J201" s="37"/>
      <c r="K201" s="558"/>
      <c r="L201" s="557"/>
      <c r="M201" s="557"/>
      <c r="N201" s="557"/>
      <c r="O201" s="22"/>
      <c r="P201" s="589"/>
      <c r="Q201" s="22"/>
      <c r="R201" s="465"/>
      <c r="S201" s="465"/>
      <c r="T201" s="589"/>
      <c r="U201" s="589"/>
      <c r="V201" s="589"/>
      <c r="W201" s="589"/>
      <c r="X201" s="589"/>
      <c r="Y201" s="589"/>
      <c r="Z201" s="785"/>
      <c r="AA201" s="785"/>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c r="HS201" s="14"/>
      <c r="HT201" s="14"/>
      <c r="HU201" s="14"/>
      <c r="HV201" s="14"/>
      <c r="HW201" s="14"/>
      <c r="HX201" s="14"/>
      <c r="HY201" s="14"/>
      <c r="HZ201" s="14"/>
      <c r="IA201" s="14"/>
      <c r="IB201" s="14"/>
      <c r="IC201" s="14"/>
      <c r="ID201" s="14"/>
      <c r="IE201" s="14"/>
      <c r="IF201" s="14"/>
      <c r="IG201" s="14"/>
      <c r="IH201" s="14"/>
      <c r="II201" s="14"/>
      <c r="IJ201" s="14"/>
      <c r="IK201" s="14"/>
      <c r="IL201" s="14"/>
      <c r="IM201" s="14"/>
      <c r="IN201" s="14"/>
      <c r="IO201" s="14"/>
      <c r="IP201" s="14"/>
    </row>
    <row r="202" spans="1:250" s="1" customFormat="1">
      <c r="A202" s="851"/>
      <c r="B202" s="26" t="str">
        <f>IF(Contents!$B$2=2,"The transit zone includes transit shallow water with sea depths of 0–20 m and a strip of adjacent coast. The width of the transit shallow water zone of the seas of Russia, including the Arctic, varies from the first kilometers to 100–200 km.","Транзитная зона включает транзитное мелководье с глубинами моря 0–20 м и полосу сопредельного побережья. Ширина зоны транзитного мелководья морей России, в т. ч. арктического, меняется от первых километров до 100–200 км.")</f>
        <v>The transit zone includes transit shallow water with sea depths of 0–20 m and a strip of adjacent coast. The width of the transit shallow water zone of the seas of Russia, including the Arctic, varies from the first kilometers to 100–200 km.</v>
      </c>
      <c r="C202" s="180"/>
      <c r="D202" s="543"/>
      <c r="E202" s="543"/>
      <c r="F202" s="543"/>
      <c r="G202" s="543"/>
      <c r="H202" s="37"/>
      <c r="I202" s="558"/>
      <c r="J202" s="37"/>
      <c r="K202" s="558"/>
      <c r="L202" s="557"/>
      <c r="M202" s="557"/>
      <c r="N202" s="557"/>
      <c r="O202" s="22"/>
      <c r="P202" s="589"/>
      <c r="Q202" s="22"/>
      <c r="R202" s="465"/>
      <c r="S202" s="465"/>
      <c r="T202" s="589"/>
      <c r="U202" s="589"/>
      <c r="V202" s="589"/>
      <c r="W202" s="589"/>
      <c r="X202" s="589"/>
      <c r="Y202" s="589"/>
      <c r="Z202" s="785"/>
      <c r="AA202" s="785"/>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c r="HS202" s="14"/>
      <c r="HT202" s="14"/>
      <c r="HU202" s="14"/>
      <c r="HV202" s="14"/>
      <c r="HW202" s="14"/>
      <c r="HX202" s="14"/>
      <c r="HY202" s="14"/>
      <c r="HZ202" s="14"/>
      <c r="IA202" s="14"/>
      <c r="IB202" s="14"/>
      <c r="IC202" s="14"/>
      <c r="ID202" s="14"/>
      <c r="IE202" s="14"/>
      <c r="IF202" s="14"/>
      <c r="IG202" s="14"/>
      <c r="IH202" s="14"/>
      <c r="II202" s="14"/>
      <c r="IJ202" s="14"/>
      <c r="IK202" s="14"/>
      <c r="IL202" s="14"/>
      <c r="IM202" s="14"/>
      <c r="IN202" s="14"/>
      <c r="IO202" s="14"/>
      <c r="IP202" s="14"/>
    </row>
    <row r="203" spans="1:250" s="1" customFormat="1">
      <c r="A203" s="851"/>
      <c r="B203" s="30"/>
      <c r="C203" s="31"/>
      <c r="D203" s="562"/>
      <c r="E203" s="562"/>
      <c r="F203" s="562"/>
      <c r="G203" s="562"/>
      <c r="H203" s="562"/>
      <c r="I203" s="563"/>
      <c r="J203" s="562"/>
      <c r="K203" s="562"/>
      <c r="L203" s="562"/>
      <c r="M203" s="562"/>
      <c r="N203" s="562"/>
      <c r="O203" s="32"/>
      <c r="P203" s="592"/>
      <c r="Q203" s="32"/>
      <c r="R203" s="592"/>
      <c r="S203" s="592"/>
      <c r="T203" s="592"/>
      <c r="U203" s="592"/>
      <c r="V203" s="592"/>
      <c r="W203" s="592"/>
      <c r="X203" s="592"/>
      <c r="Y203" s="592"/>
      <c r="Z203" s="785"/>
      <c r="AA203" s="785"/>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c r="HS203" s="14"/>
      <c r="HT203" s="14"/>
      <c r="HU203" s="14"/>
      <c r="HV203" s="14"/>
      <c r="HW203" s="14"/>
      <c r="HX203" s="14"/>
      <c r="HY203" s="14"/>
      <c r="HZ203" s="14"/>
      <c r="IA203" s="14"/>
      <c r="IB203" s="14"/>
      <c r="IC203" s="14"/>
      <c r="ID203" s="14"/>
      <c r="IE203" s="14"/>
      <c r="IF203" s="14"/>
      <c r="IG203" s="14"/>
      <c r="IH203" s="14"/>
      <c r="II203" s="14"/>
      <c r="IJ203" s="14"/>
      <c r="IK203" s="14"/>
      <c r="IL203" s="14"/>
      <c r="IM203" s="14"/>
      <c r="IN203" s="14"/>
      <c r="IO203" s="14"/>
      <c r="IP203" s="14"/>
    </row>
    <row r="204" spans="1:250" s="1" customFormat="1">
      <c r="A204" s="851"/>
      <c r="B204" s="33"/>
      <c r="C204" s="15"/>
      <c r="D204" s="16"/>
      <c r="E204" s="16"/>
      <c r="F204" s="16"/>
      <c r="G204" s="16"/>
      <c r="H204" s="16"/>
      <c r="I204" s="150"/>
      <c r="J204" s="16"/>
      <c r="K204" s="16"/>
      <c r="L204" s="16"/>
      <c r="M204" s="16"/>
      <c r="N204" s="16"/>
      <c r="O204" s="16"/>
      <c r="P204" s="589"/>
      <c r="Q204" s="16"/>
      <c r="R204" s="589"/>
      <c r="S204" s="589"/>
      <c r="T204" s="589"/>
      <c r="U204" s="589"/>
      <c r="V204" s="589"/>
      <c r="W204" s="589"/>
      <c r="X204" s="589"/>
      <c r="Y204" s="589"/>
      <c r="Z204" s="785"/>
      <c r="AA204" s="785"/>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c r="HS204" s="14"/>
      <c r="HT204" s="14"/>
      <c r="HU204" s="14"/>
      <c r="HV204" s="14"/>
      <c r="HW204" s="14"/>
      <c r="HX204" s="14"/>
      <c r="HY204" s="14"/>
      <c r="HZ204" s="14"/>
      <c r="IA204" s="14"/>
      <c r="IB204" s="14"/>
      <c r="IC204" s="14"/>
      <c r="ID204" s="14"/>
      <c r="IE204" s="14"/>
      <c r="IF204" s="14"/>
      <c r="IG204" s="14"/>
      <c r="IH204" s="14"/>
      <c r="II204" s="14"/>
      <c r="IJ204" s="14"/>
      <c r="IK204" s="14"/>
      <c r="IL204" s="14"/>
      <c r="IM204" s="14"/>
      <c r="IN204" s="14"/>
      <c r="IO204" s="14"/>
      <c r="IP204" s="14"/>
    </row>
    <row r="205" spans="1:250" s="1" customFormat="1" ht="28.5" customHeight="1">
      <c r="A205" s="851"/>
      <c r="B205" s="141" t="str">
        <f>IF(Contents!$B$2=2,"For more information, see the Sustainable Development Reports for 2020-2025 (the Climate Change chapter).","Для получения дополнительной информации см. Отчеты об устойчивом развитии за 2020-2025 гг. (глава «Изменение климата»).")</f>
        <v>For more information, see the Sustainable Development Reports for 2020-2025 (the Climate Change chapter).</v>
      </c>
      <c r="C205" s="15"/>
      <c r="D205" s="16"/>
      <c r="E205" s="16"/>
      <c r="F205" s="16"/>
      <c r="G205" s="16"/>
      <c r="H205" s="16"/>
      <c r="I205" s="150"/>
      <c r="J205" s="16"/>
      <c r="K205" s="16"/>
      <c r="L205" s="16"/>
      <c r="M205" s="16"/>
      <c r="N205" s="16"/>
      <c r="O205" s="16"/>
      <c r="P205" s="589"/>
      <c r="Q205" s="16"/>
      <c r="R205" s="589"/>
      <c r="S205" s="589"/>
      <c r="T205" s="589"/>
      <c r="U205" s="589"/>
      <c r="V205" s="589"/>
      <c r="W205" s="589"/>
      <c r="X205" s="589"/>
      <c r="Y205" s="589"/>
      <c r="Z205" s="785"/>
      <c r="AA205" s="785"/>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c r="HT205" s="14"/>
      <c r="HU205" s="14"/>
      <c r="HV205" s="14"/>
      <c r="HW205" s="14"/>
      <c r="HX205" s="14"/>
      <c r="HY205" s="14"/>
      <c r="HZ205" s="14"/>
      <c r="IA205" s="14"/>
      <c r="IB205" s="14"/>
      <c r="IC205" s="14"/>
      <c r="ID205" s="14"/>
      <c r="IE205" s="14"/>
      <c r="IF205" s="14"/>
      <c r="IG205" s="14"/>
      <c r="IH205" s="14"/>
      <c r="II205" s="14"/>
      <c r="IJ205" s="14"/>
      <c r="IK205" s="14"/>
      <c r="IL205" s="14"/>
      <c r="IM205" s="14"/>
      <c r="IN205" s="14"/>
      <c r="IO205" s="14"/>
      <c r="IP205" s="14"/>
    </row>
    <row r="206" spans="1:250" s="1" customFormat="1">
      <c r="A206" s="851"/>
      <c r="B206" s="34"/>
      <c r="C206" s="15"/>
      <c r="D206" s="16"/>
      <c r="E206" s="16"/>
      <c r="F206" s="16"/>
      <c r="G206" s="16"/>
      <c r="H206" s="16"/>
      <c r="I206" s="150"/>
      <c r="J206" s="16"/>
      <c r="K206" s="16"/>
      <c r="L206" s="16"/>
      <c r="M206" s="16"/>
      <c r="N206" s="16"/>
      <c r="O206" s="16"/>
      <c r="P206" s="589"/>
      <c r="Q206" s="16"/>
      <c r="R206" s="589"/>
      <c r="S206" s="589"/>
      <c r="T206" s="589"/>
      <c r="U206" s="589"/>
      <c r="V206" s="589"/>
      <c r="W206" s="589"/>
      <c r="X206" s="589"/>
      <c r="Y206" s="589"/>
      <c r="Z206" s="785"/>
      <c r="AA206" s="785"/>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c r="HS206" s="14"/>
      <c r="HT206" s="14"/>
      <c r="HU206" s="14"/>
      <c r="HV206" s="14"/>
      <c r="HW206" s="14"/>
      <c r="HX206" s="14"/>
      <c r="HY206" s="14"/>
      <c r="HZ206" s="14"/>
      <c r="IA206" s="14"/>
      <c r="IB206" s="14"/>
      <c r="IC206" s="14"/>
      <c r="ID206" s="14"/>
      <c r="IE206" s="14"/>
      <c r="IF206" s="14"/>
      <c r="IG206" s="14"/>
      <c r="IH206" s="14"/>
      <c r="II206" s="14"/>
      <c r="IJ206" s="14"/>
      <c r="IK206" s="14"/>
      <c r="IL206" s="14"/>
      <c r="IM206" s="14"/>
      <c r="IN206" s="14"/>
      <c r="IO206" s="14"/>
      <c r="IP206" s="14"/>
    </row>
    <row r="207" spans="1:250" s="1" customFormat="1">
      <c r="A207" s="851"/>
      <c r="B207" s="34"/>
      <c r="C207" s="15"/>
      <c r="D207" s="16"/>
      <c r="E207" s="16"/>
      <c r="F207" s="16"/>
      <c r="G207" s="16"/>
      <c r="H207" s="16"/>
      <c r="I207" s="150"/>
      <c r="J207" s="16"/>
      <c r="K207" s="16"/>
      <c r="L207" s="16"/>
      <c r="M207" s="16"/>
      <c r="N207" s="16"/>
      <c r="O207" s="16"/>
      <c r="P207" s="589"/>
      <c r="Q207" s="16"/>
      <c r="R207" s="589"/>
      <c r="S207" s="589"/>
      <c r="T207" s="589"/>
      <c r="U207" s="589"/>
      <c r="V207" s="589"/>
      <c r="W207" s="589"/>
      <c r="X207" s="589"/>
      <c r="Y207" s="589"/>
      <c r="Z207" s="785"/>
      <c r="AA207" s="785"/>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c r="HS207" s="14"/>
      <c r="HT207" s="14"/>
      <c r="HU207" s="14"/>
      <c r="HV207" s="14"/>
      <c r="HW207" s="14"/>
      <c r="HX207" s="14"/>
      <c r="HY207" s="14"/>
      <c r="HZ207" s="14"/>
      <c r="IA207" s="14"/>
      <c r="IB207" s="14"/>
      <c r="IC207" s="14"/>
      <c r="ID207" s="14"/>
      <c r="IE207" s="14"/>
      <c r="IF207" s="14"/>
      <c r="IG207" s="14"/>
      <c r="IH207" s="14"/>
      <c r="II207" s="14"/>
      <c r="IJ207" s="14"/>
      <c r="IK207" s="14"/>
      <c r="IL207" s="14"/>
      <c r="IM207" s="14"/>
      <c r="IN207" s="14"/>
      <c r="IO207" s="14"/>
      <c r="IP207" s="14"/>
    </row>
    <row r="208" spans="1:250" s="1" customFormat="1">
      <c r="A208" s="851"/>
      <c r="B208" s="34"/>
      <c r="C208" s="15"/>
      <c r="D208" s="16"/>
      <c r="E208" s="16"/>
      <c r="F208" s="16"/>
      <c r="G208" s="16"/>
      <c r="H208" s="16"/>
      <c r="I208" s="150"/>
      <c r="J208" s="16"/>
      <c r="K208" s="16"/>
      <c r="L208" s="16"/>
      <c r="M208" s="16"/>
      <c r="N208" s="16"/>
      <c r="O208" s="16"/>
      <c r="P208" s="589"/>
      <c r="Q208" s="16"/>
      <c r="R208" s="589"/>
      <c r="S208" s="589"/>
      <c r="T208" s="589"/>
      <c r="U208" s="589"/>
      <c r="V208" s="589"/>
      <c r="W208" s="589"/>
      <c r="X208" s="589"/>
      <c r="Y208" s="589"/>
      <c r="Z208" s="785"/>
      <c r="AA208" s="785"/>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c r="HS208" s="14"/>
      <c r="HT208" s="14"/>
      <c r="HU208" s="14"/>
      <c r="HV208" s="14"/>
      <c r="HW208" s="14"/>
      <c r="HX208" s="14"/>
      <c r="HY208" s="14"/>
      <c r="HZ208" s="14"/>
      <c r="IA208" s="14"/>
      <c r="IB208" s="14"/>
      <c r="IC208" s="14"/>
      <c r="ID208" s="14"/>
      <c r="IE208" s="14"/>
      <c r="IF208" s="14"/>
      <c r="IG208" s="14"/>
      <c r="IH208" s="14"/>
      <c r="II208" s="14"/>
      <c r="IJ208" s="14"/>
      <c r="IK208" s="14"/>
      <c r="IL208" s="14"/>
      <c r="IM208" s="14"/>
      <c r="IN208" s="14"/>
      <c r="IO208" s="14"/>
      <c r="IP208" s="14"/>
    </row>
    <row r="209" spans="1:250" s="1" customFormat="1">
      <c r="A209" s="851"/>
      <c r="B209" s="34"/>
      <c r="C209" s="15"/>
      <c r="D209" s="16"/>
      <c r="E209" s="16"/>
      <c r="F209" s="16"/>
      <c r="G209" s="16"/>
      <c r="H209" s="16"/>
      <c r="I209" s="150"/>
      <c r="J209" s="16"/>
      <c r="K209" s="16"/>
      <c r="L209" s="16"/>
      <c r="M209" s="16"/>
      <c r="N209" s="16"/>
      <c r="O209" s="16"/>
      <c r="P209" s="589"/>
      <c r="Q209" s="16"/>
      <c r="R209" s="589"/>
      <c r="S209" s="589"/>
      <c r="T209" s="589"/>
      <c r="U209" s="589"/>
      <c r="V209" s="589"/>
      <c r="W209" s="589"/>
      <c r="X209" s="589"/>
      <c r="Y209" s="589"/>
      <c r="Z209" s="785"/>
      <c r="AA209" s="785"/>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c r="HS209" s="14"/>
      <c r="HT209" s="14"/>
      <c r="HU209" s="14"/>
      <c r="HV209" s="14"/>
      <c r="HW209" s="14"/>
      <c r="HX209" s="14"/>
      <c r="HY209" s="14"/>
      <c r="HZ209" s="14"/>
      <c r="IA209" s="14"/>
      <c r="IB209" s="14"/>
      <c r="IC209" s="14"/>
      <c r="ID209" s="14"/>
      <c r="IE209" s="14"/>
      <c r="IF209" s="14"/>
      <c r="IG209" s="14"/>
      <c r="IH209" s="14"/>
      <c r="II209" s="14"/>
      <c r="IJ209" s="14"/>
      <c r="IK209" s="14"/>
      <c r="IL209" s="14"/>
      <c r="IM209" s="14"/>
      <c r="IN209" s="14"/>
      <c r="IO209" s="14"/>
      <c r="IP209" s="14"/>
    </row>
    <row r="210" spans="1:250" s="1" customFormat="1">
      <c r="A210" s="851"/>
      <c r="B210" s="14"/>
      <c r="C210" s="15"/>
      <c r="D210" s="16"/>
      <c r="E210" s="16"/>
      <c r="F210" s="16"/>
      <c r="G210" s="16"/>
      <c r="H210" s="16"/>
      <c r="I210" s="150"/>
      <c r="J210" s="16"/>
      <c r="K210" s="16"/>
      <c r="L210" s="16"/>
      <c r="M210" s="16"/>
      <c r="N210" s="16"/>
      <c r="O210" s="16"/>
      <c r="P210" s="589"/>
      <c r="Q210" s="16"/>
      <c r="R210" s="589"/>
      <c r="S210" s="589"/>
      <c r="T210" s="589"/>
      <c r="U210" s="589"/>
      <c r="V210" s="589"/>
      <c r="W210" s="589"/>
      <c r="X210" s="589"/>
      <c r="Y210" s="589"/>
      <c r="Z210" s="785"/>
      <c r="AA210" s="785"/>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c r="HS210" s="14"/>
      <c r="HT210" s="14"/>
      <c r="HU210" s="14"/>
      <c r="HV210" s="14"/>
      <c r="HW210" s="14"/>
      <c r="HX210" s="14"/>
      <c r="HY210" s="14"/>
      <c r="HZ210" s="14"/>
      <c r="IA210" s="14"/>
      <c r="IB210" s="14"/>
      <c r="IC210" s="14"/>
      <c r="ID210" s="14"/>
      <c r="IE210" s="14"/>
      <c r="IF210" s="14"/>
      <c r="IG210" s="14"/>
      <c r="IH210" s="14"/>
      <c r="II210" s="14"/>
      <c r="IJ210" s="14"/>
      <c r="IK210" s="14"/>
      <c r="IL210" s="14"/>
      <c r="IM210" s="14"/>
      <c r="IN210" s="14"/>
      <c r="IO210" s="14"/>
      <c r="IP210" s="14"/>
    </row>
    <row r="211" spans="1:250" s="1" customFormat="1">
      <c r="A211" s="851"/>
      <c r="B211" s="14"/>
      <c r="C211" s="15"/>
      <c r="D211" s="16"/>
      <c r="E211" s="16"/>
      <c r="F211" s="16"/>
      <c r="G211" s="16"/>
      <c r="H211" s="16"/>
      <c r="I211" s="150"/>
      <c r="J211" s="16"/>
      <c r="K211" s="16"/>
      <c r="L211" s="16"/>
      <c r="M211" s="16"/>
      <c r="N211" s="16"/>
      <c r="O211" s="16"/>
      <c r="P211" s="589"/>
      <c r="Q211" s="16"/>
      <c r="R211" s="589"/>
      <c r="S211" s="589"/>
      <c r="T211" s="589"/>
      <c r="U211" s="589"/>
      <c r="V211" s="589"/>
      <c r="W211" s="589"/>
      <c r="X211" s="589"/>
      <c r="Y211" s="589"/>
      <c r="Z211" s="785"/>
      <c r="AA211" s="785"/>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4"/>
      <c r="HD211" s="14"/>
      <c r="HE211" s="14"/>
      <c r="HF211" s="14"/>
      <c r="HG211" s="14"/>
      <c r="HH211" s="14"/>
      <c r="HI211" s="14"/>
      <c r="HJ211" s="14"/>
      <c r="HK211" s="14"/>
      <c r="HL211" s="14"/>
      <c r="HM211" s="14"/>
      <c r="HN211" s="14"/>
      <c r="HO211" s="14"/>
      <c r="HP211" s="14"/>
      <c r="HQ211" s="14"/>
      <c r="HR211" s="14"/>
      <c r="HS211" s="14"/>
      <c r="HT211" s="14"/>
      <c r="HU211" s="14"/>
      <c r="HV211" s="14"/>
      <c r="HW211" s="14"/>
      <c r="HX211" s="14"/>
      <c r="HY211" s="14"/>
      <c r="HZ211" s="14"/>
      <c r="IA211" s="14"/>
      <c r="IB211" s="14"/>
      <c r="IC211" s="14"/>
      <c r="ID211" s="14"/>
      <c r="IE211" s="14"/>
      <c r="IF211" s="14"/>
      <c r="IG211" s="14"/>
      <c r="IH211" s="14"/>
      <c r="II211" s="14"/>
      <c r="IJ211" s="14"/>
      <c r="IK211" s="14"/>
      <c r="IL211" s="14"/>
      <c r="IM211" s="14"/>
      <c r="IN211" s="14"/>
      <c r="IO211" s="14"/>
      <c r="IP211" s="14"/>
    </row>
  </sheetData>
  <hyperlinks>
    <hyperlink ref="B3" location="Climate!B8" display="Climate!B8"/>
    <hyperlink ref="C3" location="Climate!B153" display="Climate!B153"/>
    <hyperlink ref="B205" r:id="rId1" display="https://www.novatek.ru/en/development/archive/"/>
    <hyperlink ref="B1" location="Contents!A1" display="← Back to Contents"/>
  </hyperlinks>
  <pageMargins left="0.7" right="0.7" top="0.75" bottom="0.75" header="0.3" footer="0.3"/>
  <pageSetup scale="16" orientation="portrait" r:id="rId2"/>
  <colBreaks count="1" manualBreakCount="1">
    <brk id="24"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R721"/>
  <sheetViews>
    <sheetView zoomScale="50" zoomScaleNormal="50" workbookViewId="0">
      <selection activeCell="Y315" sqref="Y315"/>
    </sheetView>
  </sheetViews>
  <sheetFormatPr defaultColWidth="9.140625" defaultRowHeight="18.75"/>
  <cols>
    <col min="1" max="1" width="11.28515625" style="251"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7.140625" style="253" customWidth="1"/>
    <col min="16" max="16" width="15.42578125" style="606" customWidth="1"/>
    <col min="17" max="17" width="17.140625" style="253" customWidth="1"/>
    <col min="18" max="20" width="20.42578125" style="606" customWidth="1"/>
    <col min="21" max="21" width="20.42578125" style="607" customWidth="1"/>
    <col min="22" max="22" width="5.42578125" style="606" customWidth="1"/>
    <col min="23" max="23" width="15.42578125" style="606" customWidth="1"/>
    <col min="24" max="25" width="5.42578125" style="606" customWidth="1"/>
    <col min="26" max="26" width="8.85546875" style="606" customWidth="1"/>
    <col min="27" max="27" width="7" style="14" customWidth="1"/>
    <col min="28" max="16384" width="9.140625" style="14"/>
  </cols>
  <sheetData>
    <row r="1" spans="1:252" ht="80.099999999999994" customHeight="1">
      <c r="B1" s="487" t="s">
        <v>168</v>
      </c>
      <c r="G1" s="254"/>
    </row>
    <row r="2" spans="1:252">
      <c r="A2" s="256"/>
      <c r="B2" s="18" t="str">
        <f>IF(Contents!$B$2=2,"CONTENTS","СОДЕРЖАНИЕ")</f>
        <v>CONTENTS</v>
      </c>
      <c r="C2" s="44"/>
      <c r="D2" s="257"/>
      <c r="E2" s="257"/>
      <c r="F2" s="257"/>
      <c r="G2" s="258"/>
      <c r="H2" s="258"/>
      <c r="I2" s="258"/>
      <c r="J2" s="257"/>
      <c r="K2" s="257"/>
      <c r="L2" s="257"/>
      <c r="M2" s="257"/>
      <c r="N2" s="257"/>
      <c r="P2" s="608"/>
      <c r="R2" s="608"/>
      <c r="S2" s="608"/>
      <c r="T2" s="608"/>
      <c r="U2" s="609"/>
      <c r="V2" s="56"/>
      <c r="W2" s="608"/>
      <c r="X2" s="56"/>
    </row>
    <row r="3" spans="1:252">
      <c r="A3" s="256"/>
      <c r="B3" s="575" t="str">
        <f>IF(Contents!$B$2=2,"Environmental management","Управление охраной окружающей среды")</f>
        <v>Environmental management</v>
      </c>
      <c r="C3" s="575" t="str">
        <f>IF(Contents!$B$2=2,"Emissions of pollutants","Выбросы загрязняющих веществ")</f>
        <v>Emissions of pollutants</v>
      </c>
      <c r="D3" s="575"/>
      <c r="F3" s="580" t="str">
        <f>IF(Contents!$B$2=2,"Waste","Отходы")</f>
        <v>Waste</v>
      </c>
      <c r="G3" s="580" t="str">
        <f>IF(Contents!$B$2=2,"Water use and discharge","Водопользование и водоотведение")</f>
        <v>Water use and discharge</v>
      </c>
      <c r="H3" s="575"/>
      <c r="I3" s="575"/>
      <c r="J3" s="580" t="str">
        <f>IF(Contents!$B$2=2,"Biodiversity conservation","Сохранение биоразнообразия")</f>
        <v>Biodiversity conservation</v>
      </c>
      <c r="K3" s="576"/>
      <c r="N3" s="576"/>
      <c r="S3" s="603"/>
      <c r="T3" s="603"/>
      <c r="U3" s="604"/>
      <c r="V3" s="603"/>
      <c r="W3" s="603"/>
      <c r="X3" s="603"/>
    </row>
    <row r="4" spans="1:252" s="1" customFormat="1">
      <c r="A4" s="256"/>
      <c r="B4" s="575" t="str">
        <f>IF(Contents!$B$2=2,"Compliance with environmental laws","Cоблюдение природоохранного законодательства")</f>
        <v>Compliance with environmental laws</v>
      </c>
      <c r="C4" s="577"/>
      <c r="D4" s="578"/>
      <c r="F4" s="575"/>
      <c r="G4" s="575"/>
      <c r="H4" s="575"/>
      <c r="I4" s="575"/>
      <c r="J4" s="580" t="str">
        <f>IF(Contents!$B$2=2,"Land use and reclamation","Использование и рекультивация земель")</f>
        <v>Land use and reclamation</v>
      </c>
      <c r="K4" s="577"/>
      <c r="L4" s="577"/>
      <c r="M4" s="577"/>
      <c r="N4" s="577"/>
      <c r="P4" s="606"/>
      <c r="R4" s="606"/>
      <c r="S4" s="603"/>
      <c r="T4" s="603"/>
      <c r="U4" s="604"/>
      <c r="V4" s="603"/>
      <c r="W4" s="603"/>
      <c r="X4" s="603"/>
      <c r="Y4" s="606"/>
      <c r="Z4" s="606"/>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row>
    <row r="5" spans="1:252" s="1" customFormat="1" ht="33.950000000000003" customHeight="1">
      <c r="A5" s="256"/>
      <c r="B5" s="580" t="str">
        <f>IF(Contents!$B$2=2,"Environmental expenses","Расходы на охрану окружающей среды")</f>
        <v>Environmental expenses</v>
      </c>
      <c r="C5" s="116"/>
      <c r="D5" s="116"/>
      <c r="E5" s="579"/>
      <c r="F5" s="575"/>
      <c r="G5" s="575"/>
      <c r="H5" s="575"/>
      <c r="I5" s="575"/>
      <c r="J5" s="575"/>
      <c r="K5" s="116"/>
      <c r="L5" s="581"/>
      <c r="M5" s="581"/>
      <c r="N5" s="484"/>
      <c r="O5" s="259"/>
      <c r="P5" s="606"/>
      <c r="Q5" s="259"/>
      <c r="R5" s="603"/>
      <c r="S5" s="603"/>
      <c r="T5" s="603"/>
      <c r="U5" s="604"/>
      <c r="V5" s="603"/>
      <c r="W5" s="603"/>
      <c r="X5" s="603"/>
      <c r="Y5" s="606"/>
      <c r="Z5" s="606"/>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row>
    <row r="6" spans="1:252" ht="30" customHeight="1">
      <c r="A6" s="260"/>
      <c r="B6" s="261" t="str">
        <f>IF(Contents!$B$2=2,"Environment","Окружающая среда")</f>
        <v>Environment</v>
      </c>
      <c r="C6" s="262"/>
      <c r="D6" s="263"/>
      <c r="E6" s="264"/>
      <c r="F6" s="265"/>
      <c r="G6" s="265"/>
      <c r="H6" s="265"/>
      <c r="I6" s="266"/>
      <c r="J6" s="267"/>
      <c r="K6" s="267"/>
      <c r="L6" s="267"/>
      <c r="M6" s="267"/>
      <c r="N6" s="267"/>
      <c r="P6" s="610"/>
      <c r="R6" s="610"/>
      <c r="S6" s="610"/>
      <c r="T6" s="610"/>
      <c r="U6" s="611"/>
      <c r="V6" s="56"/>
      <c r="W6" s="610"/>
      <c r="X6" s="56"/>
    </row>
    <row r="7" spans="1:252" ht="54.95" customHeight="1">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Subject to external assurance in 2025</v>
      </c>
      <c r="Q7" s="930"/>
      <c r="R7" s="602" t="str">
        <f>IF(Contents!$B$2=2,"GRI Disclosure, including GRI 11: Oil and Gas Sector","Индексы Стандартов GRI, в т.ч. GRI 11: Oil and Gas Sector")</f>
        <v>GRI Disclosure, including GRI 11: Oil and Gas Sector</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586" t="str">
        <f>IF(Contents!$B$2=2,"Report scope","Границы отчетности")</f>
        <v>Report scope</v>
      </c>
      <c r="X7" s="504"/>
      <c r="Y7" s="504"/>
      <c r="Z7" s="505"/>
    </row>
    <row r="8" spans="1:252" ht="20.100000000000001" customHeight="1">
      <c r="B8" s="272" t="str">
        <f>IF(Contents!$B$2=2,"Environmental management","Управление охраной окружающей среды")</f>
        <v>Environmental management</v>
      </c>
      <c r="C8" s="272"/>
      <c r="D8" s="272"/>
      <c r="E8" s="272"/>
      <c r="F8" s="272"/>
      <c r="G8" s="272"/>
      <c r="H8" s="272"/>
      <c r="I8" s="272"/>
      <c r="J8" s="272"/>
      <c r="K8" s="272"/>
      <c r="L8" s="272"/>
      <c r="M8" s="272"/>
      <c r="N8" s="272"/>
      <c r="P8" s="56"/>
      <c r="R8" s="273"/>
      <c r="S8" s="273"/>
      <c r="T8" s="56"/>
      <c r="U8" s="60"/>
      <c r="V8" s="56"/>
      <c r="W8" s="56"/>
      <c r="X8" s="56"/>
      <c r="Y8" s="56"/>
    </row>
    <row r="9" spans="1:252">
      <c r="B9" s="274" t="str">
        <f>IF(Contents!$B$2=2,"Certification of enterprises for compliance with international standards","Сертификация предприятий на соответствие требованиям международных стандартов ")</f>
        <v>Certification of enterprises for compliance with international standards</v>
      </c>
      <c r="C9" s="42"/>
      <c r="D9" s="247"/>
      <c r="E9" s="247"/>
      <c r="F9" s="247"/>
      <c r="G9" s="247"/>
      <c r="H9" s="247"/>
      <c r="I9" s="275"/>
      <c r="J9" s="275"/>
      <c r="K9" s="275"/>
      <c r="L9" s="275"/>
      <c r="M9" s="275"/>
      <c r="N9" s="275"/>
      <c r="P9" s="926"/>
      <c r="R9" s="273"/>
      <c r="S9" s="273"/>
      <c r="T9" s="273"/>
      <c r="U9" s="273"/>
      <c r="V9" s="297"/>
      <c r="W9" s="297"/>
      <c r="X9" s="297"/>
      <c r="Y9" s="297"/>
      <c r="AA9" s="585"/>
    </row>
    <row r="10" spans="1:252">
      <c r="B10" s="276" t="str">
        <f>IF(Contents!$B$2=2,"Number of enterprises certified under ISO 14001:2015","Количество предприятий, сертифицированных по ISO 14001:2015")</f>
        <v>Number of enterprises certified under ISO 14001:2015</v>
      </c>
      <c r="C10" s="12" t="str">
        <f>IF(Contents!$B$2=2,"unit","ед.")</f>
        <v>unit</v>
      </c>
      <c r="D10" s="10" t="s">
        <v>185</v>
      </c>
      <c r="E10" s="10" t="s">
        <v>185</v>
      </c>
      <c r="F10" s="221">
        <v>7</v>
      </c>
      <c r="G10" s="205">
        <v>7</v>
      </c>
      <c r="H10" s="205">
        <v>9</v>
      </c>
      <c r="I10" s="205">
        <v>9</v>
      </c>
      <c r="J10" s="101">
        <v>11</v>
      </c>
      <c r="K10" s="101">
        <v>11</v>
      </c>
      <c r="L10" s="101">
        <v>11</v>
      </c>
      <c r="M10" s="101">
        <v>11</v>
      </c>
      <c r="N10" s="204">
        <v>11</v>
      </c>
      <c r="P10" s="277" t="str">
        <f>IF(Contents!$B$2=2,"Yes","Да")</f>
        <v>Yes</v>
      </c>
      <c r="R10" s="612"/>
      <c r="S10" s="273"/>
      <c r="T10" s="277"/>
      <c r="U10" s="278"/>
      <c r="V10" s="56"/>
      <c r="W10" s="277">
        <v>2</v>
      </c>
      <c r="X10" s="56"/>
      <c r="AA10" s="585"/>
    </row>
    <row r="11" spans="1:252">
      <c r="B11" s="274" t="str">
        <f>IF(Contents!$B$2=2,"Environmental audits by supervisory authorities","Проверки надзорными органами по вопросам ООС")</f>
        <v>Environmental audits by supervisory authorities</v>
      </c>
      <c r="C11" s="42"/>
      <c r="D11" s="247"/>
      <c r="E11" s="247"/>
      <c r="F11" s="247"/>
      <c r="G11" s="247"/>
      <c r="H11" s="247"/>
      <c r="I11" s="275"/>
      <c r="J11" s="275"/>
      <c r="K11" s="275"/>
      <c r="L11" s="275"/>
      <c r="M11" s="275"/>
      <c r="N11" s="275"/>
      <c r="P11" s="926"/>
      <c r="R11" s="273"/>
      <c r="S11" s="273"/>
      <c r="T11" s="273"/>
      <c r="U11" s="273"/>
      <c r="V11" s="297"/>
      <c r="W11" s="297"/>
      <c r="X11" s="297"/>
      <c r="Y11" s="297"/>
      <c r="AA11" s="585"/>
    </row>
    <row r="12" spans="1:252" ht="36">
      <c r="B12" s="276" t="str">
        <f>IF(Contents!$B$2=2,"Number of inspections by supervisory authorities about environmental protection and sustainable use of natural resources","Количество проверок надзорными органами в области охраны окружающей среды и рационального природопользования")</f>
        <v>Number of inspections by supervisory authorities about environmental protection and sustainable use of natural resources</v>
      </c>
      <c r="C12" s="12" t="str">
        <f>IF(Contents!$B$2=2,"unit","ед.")</f>
        <v>unit</v>
      </c>
      <c r="D12" s="10" t="s">
        <v>185</v>
      </c>
      <c r="E12" s="10" t="s">
        <v>185</v>
      </c>
      <c r="F12" s="10" t="s">
        <v>185</v>
      </c>
      <c r="G12" s="10" t="s">
        <v>185</v>
      </c>
      <c r="H12" s="74">
        <v>64</v>
      </c>
      <c r="I12" s="101">
        <v>108</v>
      </c>
      <c r="J12" s="101">
        <v>217</v>
      </c>
      <c r="K12" s="101">
        <v>346</v>
      </c>
      <c r="L12" s="101">
        <v>321</v>
      </c>
      <c r="M12" s="101">
        <v>290</v>
      </c>
      <c r="N12" s="204">
        <v>200</v>
      </c>
      <c r="P12" s="598" t="str">
        <f>IF(Contents!$B$2=2,"Yes","Да")</f>
        <v>Yes</v>
      </c>
      <c r="R12" s="613"/>
      <c r="S12" s="277"/>
      <c r="T12" s="277"/>
      <c r="U12" s="278"/>
      <c r="V12" s="56"/>
      <c r="W12" s="277">
        <v>2</v>
      </c>
      <c r="X12" s="56"/>
      <c r="AA12" s="585"/>
    </row>
    <row r="13" spans="1:252">
      <c r="B13" s="274" t="str">
        <f>IF(Contents!$B$2=2,"Education in environmental management","Обучение по вопросам ООС")</f>
        <v>Education in environmental management</v>
      </c>
      <c r="C13" s="42"/>
      <c r="D13" s="247"/>
      <c r="E13" s="247"/>
      <c r="F13" s="247"/>
      <c r="G13" s="247"/>
      <c r="H13" s="247"/>
      <c r="I13" s="275"/>
      <c r="J13" s="275"/>
      <c r="K13" s="275"/>
      <c r="L13" s="275"/>
      <c r="M13" s="275"/>
      <c r="N13" s="275"/>
      <c r="P13" s="926"/>
      <c r="R13" s="273"/>
      <c r="S13" s="273"/>
      <c r="T13" s="273"/>
      <c r="U13" s="273"/>
      <c r="V13" s="297"/>
      <c r="W13" s="297"/>
      <c r="X13" s="297"/>
      <c r="Y13" s="297"/>
      <c r="AA13" s="585"/>
    </row>
    <row r="14" spans="1:252">
      <c r="B14" s="218" t="str">
        <f>IF(Contents!$B$2=2,"Number of people trained in environmental management","Количество людей, прошедших обучение в области ООС")</f>
        <v>Number of people trained in environmental management</v>
      </c>
      <c r="C14" s="12" t="str">
        <f>IF(Contents!$B$2=2,"people","человек")</f>
        <v>people</v>
      </c>
      <c r="D14" s="10" t="s">
        <v>185</v>
      </c>
      <c r="E14" s="10" t="s">
        <v>185</v>
      </c>
      <c r="F14" s="74">
        <v>128</v>
      </c>
      <c r="G14" s="74">
        <v>257</v>
      </c>
      <c r="H14" s="74">
        <v>191</v>
      </c>
      <c r="I14" s="112">
        <v>196</v>
      </c>
      <c r="J14" s="191">
        <v>389</v>
      </c>
      <c r="K14" s="191">
        <v>407</v>
      </c>
      <c r="L14" s="191">
        <v>236</v>
      </c>
      <c r="M14" s="191">
        <v>726</v>
      </c>
      <c r="N14" s="279">
        <v>237</v>
      </c>
      <c r="P14" s="598"/>
      <c r="R14" s="277" t="s">
        <v>89</v>
      </c>
      <c r="S14" s="273"/>
      <c r="T14" s="614"/>
      <c r="U14" s="614"/>
      <c r="V14" s="56"/>
      <c r="W14" s="277">
        <v>2</v>
      </c>
      <c r="X14" s="277"/>
      <c r="AA14" s="585"/>
    </row>
    <row r="15" spans="1:252">
      <c r="B15" s="276"/>
      <c r="C15" s="12"/>
      <c r="D15" s="10"/>
      <c r="E15" s="10"/>
      <c r="F15" s="10"/>
      <c r="G15" s="10"/>
      <c r="H15" s="74"/>
      <c r="I15" s="101"/>
      <c r="J15" s="101"/>
      <c r="K15" s="101"/>
      <c r="L15" s="101"/>
      <c r="M15" s="101"/>
      <c r="N15" s="101"/>
      <c r="P15" s="598"/>
      <c r="R15" s="613"/>
      <c r="S15" s="277"/>
      <c r="T15" s="277"/>
      <c r="U15" s="278"/>
      <c r="V15" s="56"/>
      <c r="W15" s="56"/>
      <c r="X15" s="56"/>
      <c r="AA15" s="585"/>
    </row>
    <row r="16" spans="1:252">
      <c r="B16" s="25" t="str">
        <f>IF(Contents!$B$2=2,"Notes:","Примечания:")</f>
        <v>Notes:</v>
      </c>
      <c r="C16" s="61"/>
      <c r="D16" s="62"/>
      <c r="E16" s="62"/>
      <c r="F16" s="62"/>
      <c r="G16" s="62"/>
      <c r="H16" s="62"/>
      <c r="I16" s="62"/>
      <c r="J16" s="62"/>
      <c r="K16" s="62"/>
      <c r="L16" s="62"/>
      <c r="M16" s="62"/>
      <c r="N16" s="63"/>
      <c r="P16" s="598"/>
      <c r="R16" s="615"/>
      <c r="S16" s="277"/>
      <c r="T16" s="277"/>
      <c r="U16" s="278"/>
      <c r="V16" s="56"/>
      <c r="W16" s="56"/>
      <c r="AA16" s="585"/>
    </row>
    <row r="17" spans="1:252">
      <c r="B17" s="65" t="str">
        <f>IF(Contents!$B$2=2,B251,B252)</f>
        <v>Audits by supervisory authorities include audits by the prosecutor's offices of the constituent entities of the Russian Federation, the Federal Service for Supervision of Natural Resources Management, executive authorities of the constituent entities of the Russian Federation, administrations of municipalities, and the Federal Agency for Fisheries.</v>
      </c>
      <c r="C17" s="65"/>
      <c r="D17" s="65"/>
      <c r="E17" s="65"/>
      <c r="F17" s="65"/>
      <c r="G17" s="65"/>
      <c r="H17" s="65"/>
      <c r="I17" s="65"/>
      <c r="J17" s="65"/>
      <c r="K17" s="65"/>
      <c r="L17" s="65"/>
      <c r="M17" s="65"/>
      <c r="N17" s="65"/>
      <c r="P17" s="56"/>
      <c r="R17" s="615"/>
      <c r="S17" s="277"/>
      <c r="T17" s="277"/>
      <c r="U17" s="278"/>
      <c r="V17" s="56"/>
      <c r="W17" s="56"/>
      <c r="AA17" s="585"/>
    </row>
    <row r="18" spans="1:252">
      <c r="B18" s="218"/>
      <c r="C18" s="281"/>
      <c r="D18" s="10"/>
      <c r="E18" s="10"/>
      <c r="F18" s="10"/>
      <c r="G18" s="10"/>
      <c r="H18" s="10"/>
      <c r="I18" s="282"/>
      <c r="J18" s="282"/>
      <c r="K18" s="282"/>
      <c r="L18" s="282"/>
      <c r="M18" s="282"/>
      <c r="N18" s="282"/>
      <c r="P18" s="56"/>
      <c r="R18" s="273"/>
      <c r="S18" s="273"/>
      <c r="T18" s="56"/>
      <c r="U18" s="60"/>
      <c r="V18" s="56"/>
      <c r="W18" s="56"/>
      <c r="X18" s="56"/>
      <c r="AA18" s="585"/>
    </row>
    <row r="19" spans="1:252" ht="20.100000000000001" customHeight="1">
      <c r="B19" s="272" t="str">
        <f>IF(Contents!$B$2=2,"Compliance with environmental laws","Cоблюдение природоохранного законодательства")</f>
        <v>Compliance with environmental laws</v>
      </c>
      <c r="C19" s="272"/>
      <c r="D19" s="272"/>
      <c r="E19" s="272"/>
      <c r="F19" s="272"/>
      <c r="G19" s="272"/>
      <c r="H19" s="272"/>
      <c r="I19" s="272"/>
      <c r="J19" s="272"/>
      <c r="K19" s="272"/>
      <c r="L19" s="272"/>
      <c r="M19" s="272"/>
      <c r="N19" s="272"/>
      <c r="P19" s="616"/>
      <c r="R19" s="616"/>
      <c r="S19" s="616"/>
      <c r="T19" s="616"/>
      <c r="U19" s="616"/>
      <c r="V19" s="616"/>
      <c r="W19" s="616"/>
      <c r="X19" s="616"/>
      <c r="Y19" s="616"/>
      <c r="AA19" s="585"/>
    </row>
    <row r="20" spans="1:252">
      <c r="B20" s="23" t="str">
        <f>IF(Contents!$B$2=2,"by type of violation of environmental laws","по видам случаев нарушения природоохранного законодательства")</f>
        <v>by type of violation of environmental laws</v>
      </c>
      <c r="C20" s="283"/>
      <c r="D20" s="335" t="s">
        <v>185</v>
      </c>
      <c r="E20" s="335" t="s">
        <v>185</v>
      </c>
      <c r="F20" s="335" t="s">
        <v>185</v>
      </c>
      <c r="G20" s="335" t="s">
        <v>185</v>
      </c>
      <c r="H20" s="335" t="s">
        <v>185</v>
      </c>
      <c r="I20" s="495">
        <v>55</v>
      </c>
      <c r="J20" s="495">
        <v>102</v>
      </c>
      <c r="K20" s="495">
        <v>111</v>
      </c>
      <c r="L20" s="495">
        <v>72</v>
      </c>
      <c r="M20" s="495">
        <v>45</v>
      </c>
      <c r="N20" s="495">
        <v>64</v>
      </c>
      <c r="P20" s="598"/>
      <c r="R20" s="273"/>
      <c r="S20" s="273"/>
      <c r="T20" s="273"/>
      <c r="U20" s="273"/>
      <c r="V20" s="297"/>
      <c r="W20" s="277">
        <v>2</v>
      </c>
      <c r="X20" s="297"/>
      <c r="Y20" s="297"/>
      <c r="AA20" s="585"/>
    </row>
    <row r="21" spans="1:252">
      <c r="B21" s="284" t="str">
        <f>IF(Contents!$B$2=2,"Number of cases for which fines were charged","Количество случаев, за которые были начислены штрафы")</f>
        <v>Number of cases for which fines were charged</v>
      </c>
      <c r="C21" s="12" t="str">
        <f>IF(Contents!$B$2=2,"unit","ед.")</f>
        <v>unit</v>
      </c>
      <c r="D21" s="10" t="s">
        <v>185</v>
      </c>
      <c r="E21" s="10" t="s">
        <v>185</v>
      </c>
      <c r="F21" s="10" t="s">
        <v>185</v>
      </c>
      <c r="G21" s="10" t="s">
        <v>185</v>
      </c>
      <c r="H21" s="10" t="s">
        <v>185</v>
      </c>
      <c r="I21" s="101">
        <v>51</v>
      </c>
      <c r="J21" s="101">
        <v>66</v>
      </c>
      <c r="K21" s="101">
        <v>13</v>
      </c>
      <c r="L21" s="101">
        <v>6</v>
      </c>
      <c r="M21" s="101">
        <v>6</v>
      </c>
      <c r="N21" s="204">
        <v>7</v>
      </c>
      <c r="O21" s="887"/>
      <c r="P21" s="598" t="str">
        <f>IF(Contents!$B$2=2,"Yes","Да")</f>
        <v>Yes</v>
      </c>
      <c r="R21" s="273" t="s">
        <v>90</v>
      </c>
      <c r="S21" s="273"/>
      <c r="T21" s="56"/>
      <c r="U21" s="60"/>
      <c r="V21" s="56"/>
      <c r="W21" s="277">
        <v>2</v>
      </c>
      <c r="X21" s="56"/>
      <c r="AA21" s="585"/>
    </row>
    <row r="22" spans="1:252">
      <c r="B22" s="284" t="str">
        <f>IF(Contents!$B$2=2,"Number of cases of applying non-financial sanctions","Количество случаев применения нефинансовых санкций")</f>
        <v>Number of cases of applying non-financial sanctions</v>
      </c>
      <c r="C22" s="12" t="str">
        <f>IF(Contents!$B$2=2,"unit","ед.")</f>
        <v>unit</v>
      </c>
      <c r="D22" s="10" t="s">
        <v>185</v>
      </c>
      <c r="E22" s="10" t="s">
        <v>185</v>
      </c>
      <c r="F22" s="10" t="s">
        <v>185</v>
      </c>
      <c r="G22" s="10" t="s">
        <v>185</v>
      </c>
      <c r="H22" s="10" t="s">
        <v>185</v>
      </c>
      <c r="I22" s="101">
        <v>4</v>
      </c>
      <c r="J22" s="101">
        <v>36</v>
      </c>
      <c r="K22" s="101">
        <v>98</v>
      </c>
      <c r="L22" s="101">
        <v>66</v>
      </c>
      <c r="M22" s="101">
        <v>39</v>
      </c>
      <c r="N22" s="204">
        <v>57</v>
      </c>
      <c r="O22" s="870"/>
      <c r="P22" s="598" t="str">
        <f>IF(Contents!$B$2=2,"Yes","Да")</f>
        <v>Yes</v>
      </c>
      <c r="R22" s="273" t="s">
        <v>90</v>
      </c>
      <c r="S22" s="273"/>
      <c r="T22" s="56"/>
      <c r="U22" s="60"/>
      <c r="V22" s="56"/>
      <c r="W22" s="277">
        <v>2</v>
      </c>
      <c r="X22" s="56"/>
      <c r="AA22" s="585"/>
    </row>
    <row r="23" spans="1:252">
      <c r="B23" s="284" t="str">
        <f>IF(Contents!$B$2=2,"Number of environmentally significant incidents","Количество экологически-значимых инцидентов")</f>
        <v>Number of environmentally significant incidents</v>
      </c>
      <c r="C23" s="12" t="str">
        <f>IF(Contents!$B$2=2,"unit","ед.")</f>
        <v>unit</v>
      </c>
      <c r="D23" s="10" t="s">
        <v>185</v>
      </c>
      <c r="E23" s="10" t="s">
        <v>185</v>
      </c>
      <c r="F23" s="10">
        <v>0</v>
      </c>
      <c r="G23" s="10">
        <v>1</v>
      </c>
      <c r="H23" s="10">
        <v>0</v>
      </c>
      <c r="I23" s="101">
        <v>0</v>
      </c>
      <c r="J23" s="101">
        <v>0</v>
      </c>
      <c r="K23" s="101">
        <v>0</v>
      </c>
      <c r="L23" s="101">
        <v>0</v>
      </c>
      <c r="M23" s="101">
        <v>0</v>
      </c>
      <c r="N23" s="204">
        <v>0</v>
      </c>
      <c r="P23" s="598" t="str">
        <f>IF(Contents!$B$2=2,"Yes","Да")</f>
        <v>Yes</v>
      </c>
      <c r="R23" s="273" t="s">
        <v>90</v>
      </c>
      <c r="S23" s="273"/>
      <c r="T23" s="273"/>
      <c r="U23" s="273" t="str">
        <f>IF(Contents!$B$2=2,"PBCS 17","СОКБ 17")</f>
        <v>PBCS 17</v>
      </c>
      <c r="V23" s="297"/>
      <c r="W23" s="277">
        <v>2</v>
      </c>
      <c r="X23" s="56"/>
      <c r="Y23" s="297"/>
      <c r="AA23" s="585"/>
    </row>
    <row r="24" spans="1:252">
      <c r="B24" s="285" t="str">
        <f>IF(Contents!$B$2=2,"Number of significant spills","Количество существенных разливов")</f>
        <v>Number of significant spills</v>
      </c>
      <c r="C24" s="12" t="str">
        <f>IF(Contents!$B$2=2,"unit","ед.")</f>
        <v>unit</v>
      </c>
      <c r="D24" s="10" t="s">
        <v>185</v>
      </c>
      <c r="E24" s="10" t="s">
        <v>185</v>
      </c>
      <c r="F24" s="10">
        <v>0</v>
      </c>
      <c r="G24" s="10">
        <v>1</v>
      </c>
      <c r="H24" s="10">
        <v>0</v>
      </c>
      <c r="I24" s="101">
        <v>0</v>
      </c>
      <c r="J24" s="101">
        <v>0</v>
      </c>
      <c r="K24" s="101">
        <v>0</v>
      </c>
      <c r="L24" s="101">
        <v>0</v>
      </c>
      <c r="M24" s="101">
        <v>0</v>
      </c>
      <c r="N24" s="204">
        <v>0</v>
      </c>
      <c r="P24" s="598" t="str">
        <f>IF(Contents!$B$2=2,"Yes","Да")</f>
        <v>Yes</v>
      </c>
      <c r="R24" s="273"/>
      <c r="S24" s="56"/>
      <c r="T24" s="56" t="s">
        <v>91</v>
      </c>
      <c r="U24" s="56"/>
      <c r="V24" s="297"/>
      <c r="W24" s="277">
        <v>2</v>
      </c>
      <c r="X24" s="56"/>
      <c r="Y24" s="297"/>
      <c r="AA24" s="585"/>
    </row>
    <row r="25" spans="1:252">
      <c r="B25" s="284" t="str">
        <f>IF(Contents!$B$2=2,"Number of cases of non-compliance with discharge limits","Количество случаев несоблюдения лимитов сброса")</f>
        <v>Number of cases of non-compliance with discharge limits</v>
      </c>
      <c r="C25" s="12" t="str">
        <f>IF(Contents!$B$2=2,"unit","ед.")</f>
        <v>unit</v>
      </c>
      <c r="D25" s="10" t="s">
        <v>185</v>
      </c>
      <c r="E25" s="10" t="s">
        <v>185</v>
      </c>
      <c r="F25" s="10" t="s">
        <v>185</v>
      </c>
      <c r="G25" s="10" t="s">
        <v>185</v>
      </c>
      <c r="H25" s="10" t="s">
        <v>185</v>
      </c>
      <c r="I25" s="10" t="s">
        <v>185</v>
      </c>
      <c r="J25" s="10" t="s">
        <v>185</v>
      </c>
      <c r="K25" s="101">
        <v>3</v>
      </c>
      <c r="L25" s="101">
        <v>3</v>
      </c>
      <c r="M25" s="101">
        <v>1</v>
      </c>
      <c r="N25" s="204">
        <v>0</v>
      </c>
      <c r="P25" s="598"/>
      <c r="R25" s="273"/>
      <c r="S25" s="56"/>
      <c r="T25" s="56"/>
      <c r="U25" s="56"/>
      <c r="V25" s="297"/>
      <c r="W25" s="277">
        <v>2</v>
      </c>
      <c r="X25" s="56"/>
      <c r="Y25" s="297"/>
      <c r="AA25" s="585"/>
    </row>
    <row r="26" spans="1:252" s="1" customFormat="1">
      <c r="A26" s="251"/>
      <c r="B26" s="284" t="str">
        <f>IF(Contents!$B$2=2,"Number of non-compliance with emission limits","Количество случаев несоблюдения лимитов выбросов")</f>
        <v>Number of non-compliance with emission limits</v>
      </c>
      <c r="C26" s="12" t="str">
        <f>IF(Contents!$B$2=2,"unit","ед.")</f>
        <v>unit</v>
      </c>
      <c r="D26" s="10" t="s">
        <v>185</v>
      </c>
      <c r="E26" s="10" t="s">
        <v>185</v>
      </c>
      <c r="F26" s="10" t="s">
        <v>185</v>
      </c>
      <c r="G26" s="10" t="s">
        <v>185</v>
      </c>
      <c r="H26" s="10" t="s">
        <v>185</v>
      </c>
      <c r="I26" s="10" t="s">
        <v>185</v>
      </c>
      <c r="J26" s="10" t="s">
        <v>185</v>
      </c>
      <c r="K26" s="101">
        <v>1</v>
      </c>
      <c r="L26" s="101">
        <v>1</v>
      </c>
      <c r="M26" s="101">
        <v>0</v>
      </c>
      <c r="N26" s="204">
        <v>0</v>
      </c>
      <c r="O26" s="253"/>
      <c r="P26" s="598"/>
      <c r="Q26" s="253"/>
      <c r="R26" s="273"/>
      <c r="S26" s="56"/>
      <c r="T26" s="56"/>
      <c r="U26" s="56"/>
      <c r="V26" s="297"/>
      <c r="W26" s="277">
        <v>2</v>
      </c>
      <c r="X26" s="56"/>
      <c r="Y26" s="297"/>
      <c r="Z26" s="606"/>
      <c r="AA26" s="585"/>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row>
    <row r="27" spans="1:252" s="1" customFormat="1">
      <c r="A27" s="251"/>
      <c r="B27" s="93"/>
      <c r="C27" s="286"/>
      <c r="D27" s="10"/>
      <c r="E27" s="10"/>
      <c r="F27" s="10"/>
      <c r="G27" s="10"/>
      <c r="H27" s="10"/>
      <c r="I27" s="101"/>
      <c r="J27" s="101"/>
      <c r="K27" s="101"/>
      <c r="L27" s="101"/>
      <c r="M27" s="101"/>
      <c r="N27" s="101"/>
      <c r="O27" s="253"/>
      <c r="P27" s="926"/>
      <c r="Q27" s="253"/>
      <c r="R27" s="273"/>
      <c r="S27" s="56"/>
      <c r="T27" s="56"/>
      <c r="U27" s="56"/>
      <c r="V27" s="297"/>
      <c r="W27" s="297"/>
      <c r="X27" s="297"/>
      <c r="Y27" s="297"/>
      <c r="Z27" s="606"/>
      <c r="AA27" s="585"/>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row>
    <row r="28" spans="1:252" s="1" customFormat="1">
      <c r="A28" s="251"/>
      <c r="B28" s="25" t="str">
        <f>IF(Contents!$B$2=2,"Notes:","Примечания:")</f>
        <v>Notes:</v>
      </c>
      <c r="C28" s="61"/>
      <c r="D28" s="62"/>
      <c r="E28" s="62"/>
      <c r="F28" s="62"/>
      <c r="G28" s="62"/>
      <c r="H28" s="62"/>
      <c r="I28" s="62"/>
      <c r="J28" s="62"/>
      <c r="K28" s="62"/>
      <c r="L28" s="62"/>
      <c r="M28" s="62"/>
      <c r="N28" s="63"/>
      <c r="O28" s="253"/>
      <c r="P28" s="56"/>
      <c r="Q28" s="253"/>
      <c r="R28" s="56"/>
      <c r="S28" s="56"/>
      <c r="T28" s="56"/>
      <c r="U28" s="60"/>
      <c r="V28" s="56"/>
      <c r="W28" s="56"/>
      <c r="X28" s="56"/>
      <c r="Y28" s="56"/>
      <c r="Z28" s="606"/>
      <c r="AA28" s="585"/>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row>
    <row r="29" spans="1:252" s="1" customFormat="1">
      <c r="A29" s="116"/>
      <c r="B29" s="65" t="str">
        <f>IF(Contents!$B$2=2,"The total number of cases for which fines were accrued in the reporting year may include cases of previous years for which fines were paid in the reporting period.","Общее количество случаев, за которые были начислены штрафы в отчетном году может включать случаи прошлых лет, штрафные санкции за которые оплачены в отчетном периоде.")</f>
        <v>The total number of cases for which fines were accrued in the reporting year may include cases of previous years for which fines were paid in the reporting period.</v>
      </c>
      <c r="C29" s="65"/>
      <c r="D29" s="65"/>
      <c r="E29" s="65"/>
      <c r="F29" s="65"/>
      <c r="G29" s="65"/>
      <c r="H29" s="65"/>
      <c r="I29" s="65"/>
      <c r="J29" s="65"/>
      <c r="K29" s="65"/>
      <c r="L29" s="65"/>
      <c r="M29" s="65"/>
      <c r="N29" s="65"/>
      <c r="O29" s="253"/>
      <c r="P29" s="56"/>
      <c r="Q29" s="253"/>
      <c r="R29" s="56"/>
      <c r="S29" s="56"/>
      <c r="T29" s="56"/>
      <c r="U29" s="60"/>
      <c r="V29" s="56"/>
      <c r="W29" s="56"/>
      <c r="X29" s="56"/>
      <c r="Y29" s="56"/>
      <c r="Z29" s="606"/>
      <c r="AA29" s="585"/>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row>
    <row r="30" spans="1:252" s="1" customFormat="1">
      <c r="A30" s="116"/>
      <c r="B30" s="65" t="str">
        <f>IF(Contents!$B$2=2,"The spill materiality thresholds are determined based on the requirements of the regulatory legal acts of the Russian Federation: for water bodies - ≥0,5 tons, for land - ≥3 tons.","Пороги существенности разливов определены на основе требований нормативно-правовых актов Российской Федерации:  для водных объектов – ≥0,5 тонны, для суши – ≥3 тонны.")</f>
        <v>The spill materiality thresholds are determined based on the requirements of the regulatory legal acts of the Russian Federation: for water bodies - ≥0,5 tons, for land - ≥3 tons.</v>
      </c>
      <c r="C30" s="65"/>
      <c r="D30" s="65"/>
      <c r="E30" s="65"/>
      <c r="F30" s="65"/>
      <c r="G30" s="65"/>
      <c r="H30" s="65"/>
      <c r="I30" s="65"/>
      <c r="J30" s="65"/>
      <c r="K30" s="65"/>
      <c r="L30" s="65"/>
      <c r="M30" s="65"/>
      <c r="N30" s="65"/>
      <c r="O30" s="253"/>
      <c r="P30" s="56"/>
      <c r="Q30" s="253"/>
      <c r="R30" s="56"/>
      <c r="S30" s="56"/>
      <c r="T30" s="56"/>
      <c r="U30" s="60"/>
      <c r="V30" s="56"/>
      <c r="W30" s="56"/>
      <c r="X30" s="56"/>
      <c r="Y30" s="56"/>
      <c r="Z30" s="606"/>
      <c r="AA30" s="585"/>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row>
    <row r="31" spans="1:252" s="1" customFormat="1">
      <c r="A31" s="251"/>
      <c r="B31" s="218"/>
      <c r="C31" s="281"/>
      <c r="D31" s="10"/>
      <c r="E31" s="10"/>
      <c r="F31" s="10"/>
      <c r="G31" s="10"/>
      <c r="H31" s="10"/>
      <c r="I31" s="282"/>
      <c r="J31" s="282"/>
      <c r="K31" s="282"/>
      <c r="L31" s="282"/>
      <c r="M31" s="282"/>
      <c r="N31" s="282"/>
      <c r="O31" s="253"/>
      <c r="P31" s="926"/>
      <c r="Q31" s="253"/>
      <c r="R31" s="273"/>
      <c r="S31" s="273"/>
      <c r="T31" s="56"/>
      <c r="U31" s="60"/>
      <c r="V31" s="297"/>
      <c r="W31" s="297"/>
      <c r="X31" s="297"/>
      <c r="Y31" s="297"/>
      <c r="Z31" s="606"/>
      <c r="AA31" s="585"/>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row>
    <row r="32" spans="1:252" s="1" customFormat="1" ht="20.100000000000001" customHeight="1">
      <c r="A32" s="251"/>
      <c r="B32" s="272" t="str">
        <f>IF(Contents!$B$2=2,"Environmental expenses","Расходы на охрану окружающей среды")</f>
        <v>Environmental expenses</v>
      </c>
      <c r="C32" s="272"/>
      <c r="D32" s="272"/>
      <c r="E32" s="272"/>
      <c r="F32" s="272"/>
      <c r="G32" s="272"/>
      <c r="H32" s="272"/>
      <c r="I32" s="272"/>
      <c r="J32" s="272"/>
      <c r="K32" s="665"/>
      <c r="L32" s="665"/>
      <c r="M32" s="665"/>
      <c r="N32" s="665"/>
      <c r="O32" s="253"/>
      <c r="P32" s="614"/>
      <c r="Q32" s="253"/>
      <c r="R32" s="273"/>
      <c r="S32" s="273"/>
      <c r="T32" s="273"/>
      <c r="U32" s="616"/>
      <c r="V32" s="614"/>
      <c r="W32" s="614"/>
      <c r="X32" s="614"/>
      <c r="Y32" s="614"/>
      <c r="Z32" s="606"/>
      <c r="AA32" s="585"/>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row>
    <row r="33" spans="1:252" s="1" customFormat="1">
      <c r="A33" s="251"/>
      <c r="B33" s="274" t="str">
        <f>IF(Contents!$B$2=2,"Environmental expenses","Расходы на охрану окружающей среды")</f>
        <v>Environmental expenses</v>
      </c>
      <c r="C33" s="42" t="str">
        <f>IF(Contents!$B$2=2,"RR th.","тыс. руб.")</f>
        <v>RR th.</v>
      </c>
      <c r="D33" s="247" t="s">
        <v>185</v>
      </c>
      <c r="E33" s="247" t="s">
        <v>185</v>
      </c>
      <c r="F33" s="247">
        <v>1372000</v>
      </c>
      <c r="G33" s="247">
        <v>1494000</v>
      </c>
      <c r="H33" s="275">
        <v>1425236</v>
      </c>
      <c r="I33" s="275">
        <v>2381887</v>
      </c>
      <c r="J33" s="275">
        <v>2908482.8786533689</v>
      </c>
      <c r="K33" s="275">
        <v>2570042.5354253375</v>
      </c>
      <c r="L33" s="275">
        <v>3088388.1134981336</v>
      </c>
      <c r="M33" s="275">
        <v>3428649.9670470846</v>
      </c>
      <c r="N33" s="275">
        <v>3277126.0581303295</v>
      </c>
      <c r="O33" s="887"/>
      <c r="P33" s="277" t="str">
        <f>IF(Contents!$B$2=2,"Yes","Да")</f>
        <v>Yes</v>
      </c>
      <c r="Q33" s="253"/>
      <c r="R33" s="273"/>
      <c r="S33" s="273"/>
      <c r="T33" s="273"/>
      <c r="U33" s="273" t="str">
        <f>IF(Contents!$B$2=2,"PBCS 11","СОКБ 11")</f>
        <v>PBCS 11</v>
      </c>
      <c r="V33" s="297"/>
      <c r="W33" s="277">
        <v>2</v>
      </c>
      <c r="X33" s="277"/>
      <c r="Y33" s="297"/>
      <c r="Z33" s="606"/>
      <c r="AA33" s="585"/>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row>
    <row r="34" spans="1:252" s="1" customFormat="1">
      <c r="A34" s="251"/>
      <c r="B34" s="23" t="str">
        <f>IF(Contents!$B$2=2,"by activity type","по типу мероприятия")</f>
        <v>by activity type</v>
      </c>
      <c r="C34" s="283"/>
      <c r="D34" s="283"/>
      <c r="E34" s="283"/>
      <c r="F34" s="283"/>
      <c r="G34" s="283"/>
      <c r="H34" s="283"/>
      <c r="I34" s="283"/>
      <c r="J34" s="283"/>
      <c r="K34" s="664"/>
      <c r="L34" s="664"/>
      <c r="M34" s="664"/>
      <c r="N34" s="664"/>
      <c r="O34" s="253"/>
      <c r="P34" s="926"/>
      <c r="Q34" s="253"/>
      <c r="R34" s="273"/>
      <c r="S34" s="273"/>
      <c r="T34" s="273"/>
      <c r="U34" s="273"/>
      <c r="V34" s="297"/>
      <c r="W34" s="297"/>
      <c r="X34" s="297"/>
      <c r="Y34" s="297"/>
      <c r="Z34" s="606"/>
      <c r="AA34" s="585"/>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row>
    <row r="35" spans="1:252" s="1" customFormat="1">
      <c r="A35" s="251"/>
      <c r="B35" s="284" t="str">
        <f>IF(Contents!$B$2=2,"Air protection and climate change prevention","Охрана атмосферного воздуха и предотвращение изменения климата")</f>
        <v>Air protection and climate change prevention</v>
      </c>
      <c r="C35" s="12" t="str">
        <f>IF(Contents!$B$2=2,"RR th.","тыс. руб.")</f>
        <v>RR th.</v>
      </c>
      <c r="D35" s="10" t="s">
        <v>185</v>
      </c>
      <c r="E35" s="10" t="s">
        <v>185</v>
      </c>
      <c r="F35" s="10" t="s">
        <v>185</v>
      </c>
      <c r="G35" s="10" t="s">
        <v>185</v>
      </c>
      <c r="H35" s="74">
        <v>101524</v>
      </c>
      <c r="I35" s="74">
        <v>38299</v>
      </c>
      <c r="J35" s="101">
        <v>233628.71071450014</v>
      </c>
      <c r="K35" s="101">
        <v>209214.91244260001</v>
      </c>
      <c r="L35" s="101">
        <v>709930.76018994965</v>
      </c>
      <c r="M35" s="101">
        <v>277309.76520298002</v>
      </c>
      <c r="N35" s="204">
        <v>624185.11738839594</v>
      </c>
      <c r="O35" s="888"/>
      <c r="P35" s="277" t="str">
        <f>IF(Contents!$B$2=2,"Yes","Да")</f>
        <v>Yes</v>
      </c>
      <c r="Q35" s="253"/>
      <c r="R35" s="273"/>
      <c r="S35" s="273"/>
      <c r="T35" s="273"/>
      <c r="U35" s="273" t="str">
        <f>IF(Contents!$B$2=2,"PBCS 11","СОКБ 11")</f>
        <v>PBCS 11</v>
      </c>
      <c r="V35" s="297"/>
      <c r="W35" s="277">
        <v>2</v>
      </c>
      <c r="X35" s="277"/>
      <c r="Y35" s="297"/>
      <c r="Z35" s="606"/>
      <c r="AA35" s="585"/>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row>
    <row r="36" spans="1:252" s="1" customFormat="1">
      <c r="A36" s="251"/>
      <c r="B36" s="284" t="str">
        <f>IF(Contents!$B$2=2,"Water resources protection (wastewater discharge and treatment)","Охрана водных ресурсов (сброс и очистка сточных вод)")</f>
        <v>Water resources protection (wastewater discharge and treatment)</v>
      </c>
      <c r="C36" s="12" t="str">
        <f>IF(Contents!$B$2=2,"RR th.","тыс. руб.")</f>
        <v>RR th.</v>
      </c>
      <c r="D36" s="10" t="s">
        <v>185</v>
      </c>
      <c r="E36" s="10" t="s">
        <v>185</v>
      </c>
      <c r="F36" s="10" t="s">
        <v>185</v>
      </c>
      <c r="G36" s="10" t="s">
        <v>185</v>
      </c>
      <c r="H36" s="74">
        <v>562651</v>
      </c>
      <c r="I36" s="74">
        <v>1382479</v>
      </c>
      <c r="J36" s="101">
        <v>1332881.6087989165</v>
      </c>
      <c r="K36" s="101">
        <v>743990.57616974995</v>
      </c>
      <c r="L36" s="101">
        <v>1004588.8252395431</v>
      </c>
      <c r="M36" s="101">
        <v>2033546.6113855781</v>
      </c>
      <c r="N36" s="204">
        <v>1691733.4485025997</v>
      </c>
      <c r="O36" s="253"/>
      <c r="P36" s="277" t="str">
        <f>IF(Contents!$B$2=2,"Yes","Да")</f>
        <v>Yes</v>
      </c>
      <c r="Q36" s="253"/>
      <c r="R36" s="273"/>
      <c r="S36" s="273"/>
      <c r="T36" s="273"/>
      <c r="U36" s="273" t="str">
        <f>IF(Contents!$B$2=2,"PBCS 11","СОКБ 11")</f>
        <v>PBCS 11</v>
      </c>
      <c r="V36" s="56"/>
      <c r="W36" s="277">
        <v>2</v>
      </c>
      <c r="X36" s="277"/>
      <c r="Y36" s="56"/>
      <c r="Z36" s="606"/>
      <c r="AA36" s="585"/>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row>
    <row r="37" spans="1:252" s="1" customFormat="1" ht="36">
      <c r="A37" s="251"/>
      <c r="B37" s="284" t="str">
        <f>IF(Contents!$B$2=2,"Environmental protection from production and consumption waste, safe waste management","Охрана окружающей среды от отходов производства и потребления, безопасному обращению с отходами")</f>
        <v>Environmental protection from production and consumption waste, safe waste management</v>
      </c>
      <c r="C37" s="12" t="str">
        <f>IF(Contents!$B$2=2,"RR th.","тыс. руб.")</f>
        <v>RR th.</v>
      </c>
      <c r="D37" s="10" t="s">
        <v>185</v>
      </c>
      <c r="E37" s="10" t="s">
        <v>185</v>
      </c>
      <c r="F37" s="10" t="s">
        <v>185</v>
      </c>
      <c r="G37" s="10" t="s">
        <v>185</v>
      </c>
      <c r="H37" s="74">
        <v>393961</v>
      </c>
      <c r="I37" s="74">
        <v>320230</v>
      </c>
      <c r="J37" s="101">
        <v>510546.684955</v>
      </c>
      <c r="K37" s="101">
        <v>870649.34575378662</v>
      </c>
      <c r="L37" s="101">
        <v>728774.82264314976</v>
      </c>
      <c r="M37" s="101">
        <v>609976.53624282707</v>
      </c>
      <c r="N37" s="204">
        <v>491591.66621158709</v>
      </c>
      <c r="O37" s="253"/>
      <c r="P37" s="277" t="str">
        <f>IF(Contents!$B$2=2,"Yes","Да")</f>
        <v>Yes</v>
      </c>
      <c r="Q37" s="253"/>
      <c r="R37" s="273"/>
      <c r="S37" s="273"/>
      <c r="T37" s="273"/>
      <c r="U37" s="273" t="str">
        <f>IF(Contents!$B$2=2,"PBCS 11","СОКБ 11")</f>
        <v>PBCS 11</v>
      </c>
      <c r="V37" s="614"/>
      <c r="W37" s="277">
        <v>2</v>
      </c>
      <c r="X37" s="277"/>
      <c r="Y37" s="614"/>
      <c r="Z37" s="606"/>
      <c r="AA37" s="585"/>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row>
    <row r="38" spans="1:252" s="1" customFormat="1">
      <c r="A38" s="251"/>
      <c r="B38" s="284" t="str">
        <f>IF(Contents!$B$2=2,"Protection of land resources and soil cover","Охрана земельных ресурсов и почвенного покрова")</f>
        <v>Protection of land resources and soil cover</v>
      </c>
      <c r="C38" s="12" t="str">
        <f>IF(Contents!$B$2=2,"RR th.","тыс. руб.")</f>
        <v>RR th.</v>
      </c>
      <c r="D38" s="10" t="s">
        <v>185</v>
      </c>
      <c r="E38" s="10" t="s">
        <v>185</v>
      </c>
      <c r="F38" s="10" t="s">
        <v>185</v>
      </c>
      <c r="G38" s="10" t="s">
        <v>185</v>
      </c>
      <c r="H38" s="74">
        <v>68320</v>
      </c>
      <c r="I38" s="74">
        <v>295299</v>
      </c>
      <c r="J38" s="101">
        <v>388108</v>
      </c>
      <c r="K38" s="101">
        <v>212296</v>
      </c>
      <c r="L38" s="101">
        <v>232465</v>
      </c>
      <c r="M38" s="101">
        <v>243056</v>
      </c>
      <c r="N38" s="204">
        <v>230814.47744328302</v>
      </c>
      <c r="O38" s="253"/>
      <c r="P38" s="277" t="str">
        <f>IF(Contents!$B$2=2,"Yes","Да")</f>
        <v>Yes</v>
      </c>
      <c r="Q38" s="253"/>
      <c r="R38" s="273"/>
      <c r="S38" s="273"/>
      <c r="T38" s="273"/>
      <c r="U38" s="273" t="str">
        <f>IF(Contents!$B$2=2,"PBCS 11","СОКБ 11")</f>
        <v>PBCS 11</v>
      </c>
      <c r="V38" s="942"/>
      <c r="W38" s="277">
        <v>2</v>
      </c>
      <c r="X38" s="277"/>
      <c r="Y38" s="297"/>
      <c r="Z38" s="606"/>
      <c r="AA38" s="585"/>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row>
    <row r="39" spans="1:252">
      <c r="B39" s="284" t="str">
        <f>IF(Contents!$B$2=2,"Subsoil protection","Охрана недр")</f>
        <v>Subsoil protection</v>
      </c>
      <c r="C39" s="12" t="str">
        <f>IF(Contents!$B$2=2,"RR th.","тыс. руб.")</f>
        <v>RR th.</v>
      </c>
      <c r="D39" s="10" t="s">
        <v>185</v>
      </c>
      <c r="E39" s="10" t="s">
        <v>185</v>
      </c>
      <c r="F39" s="10" t="s">
        <v>185</v>
      </c>
      <c r="G39" s="10" t="s">
        <v>185</v>
      </c>
      <c r="H39" s="74">
        <v>16902</v>
      </c>
      <c r="I39" s="74">
        <v>7759</v>
      </c>
      <c r="J39" s="101">
        <v>13937</v>
      </c>
      <c r="K39" s="101">
        <v>10460</v>
      </c>
      <c r="L39" s="101">
        <v>13432</v>
      </c>
      <c r="M39" s="101">
        <v>5208</v>
      </c>
      <c r="N39" s="204">
        <v>20603.353590000002</v>
      </c>
      <c r="P39" s="277" t="str">
        <f>IF(Contents!$B$2=2,"Yes","Да")</f>
        <v>Yes</v>
      </c>
      <c r="R39" s="273"/>
      <c r="S39" s="273"/>
      <c r="T39" s="273"/>
      <c r="U39" s="273" t="str">
        <f>IF(Contents!$B$2=2,"PBCS 11","СОКБ 11")</f>
        <v>PBCS 11</v>
      </c>
      <c r="V39" s="942"/>
      <c r="W39" s="277">
        <v>2</v>
      </c>
      <c r="X39" s="277"/>
      <c r="Y39" s="297"/>
      <c r="AA39" s="585"/>
    </row>
    <row r="40" spans="1:252" ht="32.25" customHeight="1">
      <c r="B40" s="284" t="str">
        <f>IF(Contents!$B$2=2,"Protection of flora and fauna and their habitat, conservation of biodiversity","Охрана растительного и животного мира и среды их обитания, сохранение биоразнообразия")</f>
        <v>Protection of flora and fauna and their habitat, conservation of biodiversity</v>
      </c>
      <c r="C40" s="12" t="str">
        <f>IF(Contents!$B$2=2,"RR th.","тыс. руб.")</f>
        <v>RR th.</v>
      </c>
      <c r="D40" s="10" t="s">
        <v>185</v>
      </c>
      <c r="E40" s="10" t="s">
        <v>185</v>
      </c>
      <c r="F40" s="10" t="s">
        <v>185</v>
      </c>
      <c r="G40" s="10" t="s">
        <v>185</v>
      </c>
      <c r="H40" s="74">
        <v>107669</v>
      </c>
      <c r="I40" s="74">
        <v>180663</v>
      </c>
      <c r="J40" s="101">
        <v>211852</v>
      </c>
      <c r="K40" s="101">
        <v>286692.70105920098</v>
      </c>
      <c r="L40" s="101">
        <v>157865.70542549097</v>
      </c>
      <c r="M40" s="101">
        <v>40008.054215700002</v>
      </c>
      <c r="N40" s="204">
        <v>80551.702513299999</v>
      </c>
      <c r="P40" s="277" t="str">
        <f>IF(Contents!$B$2=2,"Yes","Да")</f>
        <v>Yes</v>
      </c>
      <c r="R40" s="273"/>
      <c r="S40" s="273"/>
      <c r="T40" s="273"/>
      <c r="U40" s="273" t="str">
        <f>IF(Contents!$B$2=2,"PBCS 11","СОКБ 11")</f>
        <v>PBCS 11</v>
      </c>
      <c r="V40" s="942"/>
      <c r="W40" s="277">
        <v>2</v>
      </c>
      <c r="X40" s="277"/>
      <c r="Y40" s="297"/>
      <c r="AA40" s="585"/>
    </row>
    <row r="41" spans="1:252" s="1" customFormat="1">
      <c r="A41" s="251"/>
      <c r="B41" s="284" t="str">
        <f>IF(Contents!$B$2=2,"Environmental monitoring","Экологический мониторинг")</f>
        <v>Environmental monitoring</v>
      </c>
      <c r="C41" s="12" t="str">
        <f>IF(Contents!$B$2=2,"RR th.","тыс. руб.")</f>
        <v>RR th.</v>
      </c>
      <c r="D41" s="10" t="s">
        <v>185</v>
      </c>
      <c r="E41" s="10" t="s">
        <v>185</v>
      </c>
      <c r="F41" s="10" t="s">
        <v>185</v>
      </c>
      <c r="G41" s="10" t="s">
        <v>185</v>
      </c>
      <c r="H41" s="74">
        <v>137408</v>
      </c>
      <c r="I41" s="74">
        <v>134073</v>
      </c>
      <c r="J41" s="101">
        <v>153601</v>
      </c>
      <c r="K41" s="101">
        <v>173467</v>
      </c>
      <c r="L41" s="101">
        <v>145002</v>
      </c>
      <c r="M41" s="101">
        <v>133143</v>
      </c>
      <c r="N41" s="204">
        <v>102275.292481164</v>
      </c>
      <c r="O41" s="253"/>
      <c r="P41" s="277" t="str">
        <f>IF(Contents!$B$2=2,"Yes","Да")</f>
        <v>Yes</v>
      </c>
      <c r="Q41" s="253"/>
      <c r="R41" s="273"/>
      <c r="S41" s="273"/>
      <c r="T41" s="273"/>
      <c r="U41" s="273" t="str">
        <f>IF(Contents!$B$2=2,"PBCS 11","СОКБ 11")</f>
        <v>PBCS 11</v>
      </c>
      <c r="V41" s="942"/>
      <c r="W41" s="277">
        <v>2</v>
      </c>
      <c r="X41" s="277"/>
      <c r="Y41" s="297"/>
      <c r="Z41" s="606"/>
      <c r="AA41" s="585"/>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row>
    <row r="42" spans="1:252" s="1" customFormat="1">
      <c r="A42" s="251"/>
      <c r="B42" s="284" t="str">
        <f>IF(Contents!$B$2=2,"Environmental management (other)","Управление экологической деятельностью (прочее)")</f>
        <v>Environmental management (other)</v>
      </c>
      <c r="C42" s="12" t="str">
        <f>IF(Contents!$B$2=2,"RR th.","тыс. руб.")</f>
        <v>RR th.</v>
      </c>
      <c r="D42" s="10" t="s">
        <v>185</v>
      </c>
      <c r="E42" s="10" t="s">
        <v>185</v>
      </c>
      <c r="F42" s="10" t="s">
        <v>185</v>
      </c>
      <c r="G42" s="10" t="s">
        <v>185</v>
      </c>
      <c r="H42" s="74">
        <v>21894</v>
      </c>
      <c r="I42" s="74">
        <v>17040</v>
      </c>
      <c r="J42" s="74">
        <v>58754</v>
      </c>
      <c r="K42" s="74">
        <v>50705</v>
      </c>
      <c r="L42" s="74">
        <v>80259</v>
      </c>
      <c r="M42" s="74">
        <v>77670</v>
      </c>
      <c r="N42" s="204">
        <v>31409</v>
      </c>
      <c r="O42" s="253"/>
      <c r="P42" s="277" t="str">
        <f>IF(Contents!$B$2=2,"Yes","Да")</f>
        <v>Yes</v>
      </c>
      <c r="Q42" s="253"/>
      <c r="R42" s="273"/>
      <c r="S42" s="273"/>
      <c r="T42" s="273"/>
      <c r="U42" s="273" t="str">
        <f>IF(Contents!$B$2=2,"PBCS 11","СОКБ 11")</f>
        <v>PBCS 11</v>
      </c>
      <c r="V42" s="942"/>
      <c r="W42" s="277">
        <v>2</v>
      </c>
      <c r="X42" s="277"/>
      <c r="Y42" s="297"/>
      <c r="Z42" s="606"/>
      <c r="AA42" s="585"/>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row>
    <row r="43" spans="1:252">
      <c r="B43" s="284" t="str">
        <f>IF(Contents!$B$2=2,"Other environmental payments","Прочие затраты на ООС")</f>
        <v>Other environmental payments</v>
      </c>
      <c r="C43" s="12" t="str">
        <f>IF(Contents!$B$2=2,"RR th.","тыс. руб.")</f>
        <v>RR th.</v>
      </c>
      <c r="D43" s="10" t="s">
        <v>185</v>
      </c>
      <c r="E43" s="10" t="s">
        <v>185</v>
      </c>
      <c r="F43" s="10" t="s">
        <v>185</v>
      </c>
      <c r="G43" s="10" t="s">
        <v>185</v>
      </c>
      <c r="H43" s="287">
        <v>822</v>
      </c>
      <c r="I43" s="287">
        <v>107</v>
      </c>
      <c r="J43" s="288">
        <v>34</v>
      </c>
      <c r="K43" s="289">
        <v>1492</v>
      </c>
      <c r="L43" s="290">
        <v>7620</v>
      </c>
      <c r="M43" s="290">
        <v>4379</v>
      </c>
      <c r="N43" s="822">
        <v>0</v>
      </c>
      <c r="P43" s="277" t="str">
        <f>IF(Contents!$B$2=2,"Yes","Да")</f>
        <v>Yes</v>
      </c>
      <c r="R43" s="273"/>
      <c r="S43" s="273"/>
      <c r="T43" s="273"/>
      <c r="U43" s="273" t="str">
        <f>IF(Contents!$B$2=2,"PBCS 11","СОКБ 11")</f>
        <v>PBCS 11</v>
      </c>
      <c r="V43" s="297"/>
      <c r="W43" s="277">
        <v>2</v>
      </c>
      <c r="X43" s="277"/>
      <c r="Y43" s="297"/>
      <c r="Z43" s="617"/>
      <c r="AA43" s="585"/>
    </row>
    <row r="44" spans="1:252" s="1" customFormat="1" ht="19.5" customHeight="1">
      <c r="A44" s="251"/>
      <c r="B44" s="670"/>
      <c r="C44" s="165"/>
      <c r="D44" s="293"/>
      <c r="E44" s="293"/>
      <c r="F44" s="293"/>
      <c r="G44" s="293"/>
      <c r="H44" s="293"/>
      <c r="I44" s="293"/>
      <c r="J44" s="293"/>
      <c r="K44" s="293"/>
      <c r="L44" s="290"/>
      <c r="M44" s="290"/>
      <c r="N44" s="288"/>
      <c r="O44" s="253"/>
      <c r="P44" s="277"/>
      <c r="Q44" s="253"/>
      <c r="R44" s="273"/>
      <c r="S44" s="273"/>
      <c r="T44" s="273"/>
      <c r="U44" s="273"/>
      <c r="V44" s="297"/>
      <c r="W44" s="277"/>
      <c r="X44" s="297"/>
      <c r="Y44" s="297"/>
      <c r="Z44" s="617"/>
      <c r="AA44" s="585"/>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row>
    <row r="45" spans="1:252" s="1" customFormat="1" ht="22.5" customHeight="1">
      <c r="A45" s="251"/>
      <c r="B45" s="291" t="str">
        <f>IF(Contents!$B$2=2,"Comprehensive program of climate and environmental goals","Комплексная программа климатических и экологических целей")</f>
        <v>Comprehensive program of climate and environmental goals</v>
      </c>
      <c r="C45" s="292"/>
      <c r="D45" s="679"/>
      <c r="E45" s="679"/>
      <c r="F45" s="679"/>
      <c r="G45" s="679"/>
      <c r="H45" s="679"/>
      <c r="I45" s="679"/>
      <c r="J45" s="679"/>
      <c r="K45" s="679"/>
      <c r="L45" s="679"/>
      <c r="M45" s="679"/>
      <c r="N45" s="679"/>
      <c r="O45" s="253"/>
      <c r="P45" s="277"/>
      <c r="Q45" s="253"/>
      <c r="R45" s="273"/>
      <c r="S45" s="273"/>
      <c r="T45" s="273"/>
      <c r="U45" s="273"/>
      <c r="V45" s="297"/>
      <c r="W45" s="277"/>
      <c r="X45" s="297"/>
      <c r="Y45" s="297"/>
      <c r="Z45" s="617"/>
      <c r="AA45" s="585"/>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row>
    <row r="46" spans="1:252" s="1" customFormat="1">
      <c r="A46" s="251"/>
      <c r="B46" s="669" t="str">
        <f>IF(Contents!$B$2=2,"Comprehensive program of climate and environmental goals","Комплексная программа климатических и экологических целей")</f>
        <v>Comprehensive program of climate and environmental goals</v>
      </c>
      <c r="C46" s="12" t="str">
        <f>IF(Contents!$B$2=2,"RR th.","тыс. руб.")</f>
        <v>RR th.</v>
      </c>
      <c r="D46" s="10" t="s">
        <v>185</v>
      </c>
      <c r="E46" s="10" t="s">
        <v>185</v>
      </c>
      <c r="F46" s="10" t="s">
        <v>185</v>
      </c>
      <c r="G46" s="10" t="s">
        <v>185</v>
      </c>
      <c r="H46" s="10" t="s">
        <v>185</v>
      </c>
      <c r="I46" s="10" t="s">
        <v>185</v>
      </c>
      <c r="J46" s="101">
        <v>1180853</v>
      </c>
      <c r="K46" s="101">
        <v>352305</v>
      </c>
      <c r="L46" s="101">
        <v>1040638</v>
      </c>
      <c r="M46" s="101">
        <v>1092878</v>
      </c>
      <c r="N46" s="204">
        <v>1650116.5531073296</v>
      </c>
      <c r="O46" s="253"/>
      <c r="P46" s="277" t="str">
        <f>IF(Contents!$B$2=2,"Yes","Да")</f>
        <v>Yes</v>
      </c>
      <c r="Q46" s="253"/>
      <c r="R46" s="273"/>
      <c r="S46" s="273"/>
      <c r="T46" s="273"/>
      <c r="U46" s="273"/>
      <c r="V46" s="297"/>
      <c r="W46" s="277">
        <v>2</v>
      </c>
      <c r="X46" s="277"/>
      <c r="Y46" s="297"/>
      <c r="Z46" s="606"/>
      <c r="AA46" s="585"/>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row>
    <row r="48" spans="1:252" s="1" customFormat="1">
      <c r="A48" s="116"/>
      <c r="B48" s="25" t="str">
        <f>IF(Contents!$B$2=2,"Notes:","Примечания:")</f>
        <v>Notes:</v>
      </c>
      <c r="C48" s="61"/>
      <c r="D48" s="62"/>
      <c r="E48" s="62"/>
      <c r="F48" s="62"/>
      <c r="G48" s="62"/>
      <c r="H48" s="62"/>
      <c r="I48" s="62"/>
      <c r="J48" s="62"/>
      <c r="K48" s="62"/>
      <c r="L48" s="62"/>
      <c r="M48" s="62"/>
      <c r="N48" s="63"/>
      <c r="O48" s="253"/>
      <c r="P48" s="56"/>
      <c r="Q48" s="253"/>
      <c r="R48" s="56"/>
      <c r="S48" s="56"/>
      <c r="T48" s="56"/>
      <c r="U48" s="60"/>
      <c r="V48" s="56"/>
      <c r="W48" s="56"/>
      <c r="X48" s="56"/>
      <c r="Y48" s="56"/>
      <c r="Z48" s="606"/>
      <c r="AA48" s="585"/>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row>
    <row r="49" spans="1:252" s="1" customFormat="1">
      <c r="A49" s="116"/>
      <c r="B49" s="65" t="str">
        <f>IF(Contents!$B$2=2,"Environmental costs include costs related to the implementation of the Comprehensive Climate and Environmental Goals Programme, environmental protection measures and environmental charges.","Расходы на охрану окружающей среды включают затраты на реализацию Комплексной программы климатических и экологических целей, проведение природоохранных мероприятий, а также платежи за негативное воздействие на окружаую среду")</f>
        <v>Environmental costs include costs related to the implementation of the Comprehensive Climate and Environmental Goals Programme, environmental protection measures and environmental charges.</v>
      </c>
      <c r="C49" s="65"/>
      <c r="D49" s="65"/>
      <c r="E49" s="65"/>
      <c r="F49" s="65"/>
      <c r="G49" s="65"/>
      <c r="H49" s="65"/>
      <c r="I49" s="65"/>
      <c r="J49" s="65"/>
      <c r="K49" s="65"/>
      <c r="L49" s="65"/>
      <c r="M49" s="65"/>
      <c r="N49" s="65"/>
      <c r="O49" s="253"/>
      <c r="P49" s="56"/>
      <c r="Q49" s="253"/>
      <c r="R49" s="56"/>
      <c r="S49" s="56"/>
      <c r="T49" s="56"/>
      <c r="U49" s="60"/>
      <c r="V49" s="56"/>
      <c r="W49" s="56"/>
      <c r="X49" s="56"/>
      <c r="Y49" s="56"/>
      <c r="Z49" s="606"/>
      <c r="AA49" s="585"/>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row>
    <row r="50" spans="1:252" s="1" customFormat="1">
      <c r="A50" s="116"/>
      <c r="B50" s="65"/>
      <c r="C50" s="65"/>
      <c r="D50" s="65"/>
      <c r="E50" s="65"/>
      <c r="F50" s="65"/>
      <c r="G50" s="65"/>
      <c r="H50" s="65"/>
      <c r="I50" s="65"/>
      <c r="J50" s="65"/>
      <c r="K50" s="65"/>
      <c r="L50" s="65"/>
      <c r="M50" s="65"/>
      <c r="N50" s="65"/>
      <c r="O50" s="253"/>
      <c r="P50" s="56"/>
      <c r="Q50" s="253"/>
      <c r="R50" s="56"/>
      <c r="S50" s="56"/>
      <c r="T50" s="56"/>
      <c r="U50" s="60"/>
      <c r="V50" s="56"/>
      <c r="W50" s="56"/>
      <c r="X50" s="56"/>
      <c r="Y50" s="56"/>
      <c r="Z50" s="606"/>
      <c r="AA50" s="585"/>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row>
    <row r="51" spans="1:252" s="1" customFormat="1">
      <c r="A51" s="251"/>
      <c r="B51" s="274" t="str">
        <f>IF(Contents!$B$2=2,"Environmental expenses in various forms","Расходы на охрану окружающей среды по различным формам")</f>
        <v>Environmental expenses in various forms</v>
      </c>
      <c r="C51" s="42"/>
      <c r="D51" s="247"/>
      <c r="E51" s="247"/>
      <c r="F51" s="247"/>
      <c r="G51" s="247"/>
      <c r="H51" s="247"/>
      <c r="I51" s="247"/>
      <c r="J51" s="247"/>
      <c r="K51" s="275"/>
      <c r="L51" s="275"/>
      <c r="M51" s="275"/>
      <c r="N51" s="275"/>
      <c r="O51" s="253"/>
      <c r="P51" s="277"/>
      <c r="Q51" s="253"/>
      <c r="R51" s="273"/>
      <c r="S51" s="273"/>
      <c r="T51" s="273"/>
      <c r="U51" s="273"/>
      <c r="V51" s="297"/>
      <c r="W51" s="277">
        <v>2</v>
      </c>
      <c r="X51" s="277"/>
      <c r="Y51" s="297"/>
      <c r="Z51" s="606"/>
      <c r="AA51" s="585"/>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row>
    <row r="52" spans="1:252">
      <c r="B52" s="284" t="str">
        <f>IF(Contents!$B$2=2,"Capital environmental expenses (Form 18-KS)","Капитальные расходы на охрану окружающей среды(Форма 18-КС)")</f>
        <v>Capital environmental expenses (Form 18-KS)</v>
      </c>
      <c r="C52" s="12" t="str">
        <f>IF(Contents!$B$2=2,"RR th.","тыс. руб.")</f>
        <v>RR th.</v>
      </c>
      <c r="D52" s="10" t="s">
        <v>185</v>
      </c>
      <c r="E52" s="10" t="s">
        <v>185</v>
      </c>
      <c r="F52" s="10" t="s">
        <v>185</v>
      </c>
      <c r="G52" s="10" t="s">
        <v>185</v>
      </c>
      <c r="H52" s="10" t="s">
        <v>185</v>
      </c>
      <c r="I52" s="10" t="s">
        <v>185</v>
      </c>
      <c r="J52" s="10" t="s">
        <v>185</v>
      </c>
      <c r="K52" s="10">
        <v>2001546</v>
      </c>
      <c r="L52" s="10">
        <v>3481201.4206000003</v>
      </c>
      <c r="M52" s="10">
        <v>1989899.4568</v>
      </c>
      <c r="N52" s="204">
        <v>3601908.4220000003</v>
      </c>
      <c r="P52" s="926"/>
      <c r="R52" s="273"/>
      <c r="S52" s="273"/>
      <c r="T52" s="273"/>
      <c r="U52" s="273"/>
      <c r="V52" s="297"/>
      <c r="W52" s="277">
        <v>2</v>
      </c>
      <c r="X52" s="297"/>
      <c r="Y52" s="297"/>
      <c r="AA52" s="585"/>
    </row>
    <row r="53" spans="1:252" s="1" customFormat="1">
      <c r="A53" s="251"/>
      <c r="B53" s="284" t="str">
        <f>IF(Contents!$B$2=2,"Operating environmental expenses (Form 4-OS)","Операционные расходы на охрану окружающей среды (Форма 4-ОС)")</f>
        <v>Operating environmental expenses (Form 4-OS)</v>
      </c>
      <c r="C53" s="12" t="str">
        <f>IF(Contents!$B$2=2,"RR th.","тыс. руб.")</f>
        <v>RR th.</v>
      </c>
      <c r="D53" s="10" t="s">
        <v>185</v>
      </c>
      <c r="E53" s="10" t="s">
        <v>185</v>
      </c>
      <c r="F53" s="10" t="s">
        <v>185</v>
      </c>
      <c r="G53" s="10" t="s">
        <v>185</v>
      </c>
      <c r="H53" s="10" t="s">
        <v>185</v>
      </c>
      <c r="I53" s="10" t="s">
        <v>185</v>
      </c>
      <c r="J53" s="10" t="s">
        <v>185</v>
      </c>
      <c r="K53" s="10">
        <v>1970274</v>
      </c>
      <c r="L53" s="10">
        <v>2179930</v>
      </c>
      <c r="M53" s="10">
        <v>2068290</v>
      </c>
      <c r="N53" s="204">
        <v>1646838.7679999999</v>
      </c>
      <c r="O53" s="253"/>
      <c r="P53" s="926"/>
      <c r="Q53" s="253"/>
      <c r="R53" s="273"/>
      <c r="S53" s="273"/>
      <c r="T53" s="273"/>
      <c r="U53" s="273"/>
      <c r="V53" s="297"/>
      <c r="W53" s="277">
        <v>2</v>
      </c>
      <c r="X53" s="297"/>
      <c r="Y53" s="297"/>
      <c r="Z53" s="606"/>
      <c r="AA53" s="585"/>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row>
    <row r="54" spans="1:252" s="1" customFormat="1">
      <c r="A54" s="251"/>
      <c r="B54" s="26"/>
      <c r="F54" s="66"/>
      <c r="G54" s="543"/>
      <c r="H54" s="543"/>
      <c r="I54" s="543"/>
      <c r="J54" s="543"/>
      <c r="K54" s="543"/>
      <c r="L54" s="543"/>
      <c r="M54" s="543"/>
      <c r="N54" s="543"/>
      <c r="O54" s="22"/>
      <c r="P54" s="589"/>
      <c r="Q54" s="22"/>
      <c r="R54" s="589"/>
      <c r="S54" s="589"/>
      <c r="T54" s="589"/>
      <c r="U54" s="589"/>
      <c r="V54" s="589"/>
      <c r="W54" s="589"/>
      <c r="X54" s="589"/>
      <c r="Y54" s="589"/>
      <c r="Z54" s="226" t="s">
        <v>196</v>
      </c>
      <c r="AA54" s="226" t="s">
        <v>195</v>
      </c>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row>
    <row r="55" spans="1:252" s="1" customFormat="1">
      <c r="A55" s="251"/>
      <c r="B55" s="274" t="str">
        <f>IF(Contents!$B$2=2,"Environmental charges","Платежи за негативное воздействие на окружающую среду")</f>
        <v>Environmental charges</v>
      </c>
      <c r="C55" s="292" t="str">
        <f>IF(Contents!$B$2=2,"RR th.","тыс. руб.")</f>
        <v>RR th.</v>
      </c>
      <c r="D55" s="247" t="s">
        <v>185</v>
      </c>
      <c r="E55" s="247" t="s">
        <v>185</v>
      </c>
      <c r="F55" s="247" t="s">
        <v>185</v>
      </c>
      <c r="G55" s="247" t="s">
        <v>185</v>
      </c>
      <c r="H55" s="247">
        <v>14085</v>
      </c>
      <c r="I55" s="247">
        <v>5938</v>
      </c>
      <c r="J55" s="247">
        <v>5139.8741849520002</v>
      </c>
      <c r="K55" s="247">
        <v>11075</v>
      </c>
      <c r="L55" s="247">
        <v>8450</v>
      </c>
      <c r="M55" s="247">
        <v>4353</v>
      </c>
      <c r="N55" s="247">
        <v>3962</v>
      </c>
      <c r="O55" s="870"/>
      <c r="P55" s="277" t="str">
        <f>IF(Contents!$B$2=2,"Yes","Да")</f>
        <v>Yes</v>
      </c>
      <c r="Q55" s="253"/>
      <c r="R55" s="273" t="s">
        <v>90</v>
      </c>
      <c r="S55" s="56"/>
      <c r="T55" s="56"/>
      <c r="U55" s="273" t="str">
        <f>IF(Contents!$B$2=2,"PBCS 15","СОКБ 15")</f>
        <v>PBCS 15</v>
      </c>
      <c r="V55" s="297"/>
      <c r="W55" s="277">
        <v>2</v>
      </c>
      <c r="X55" s="277"/>
      <c r="Y55" s="297"/>
      <c r="Z55" s="606"/>
      <c r="AA55" s="585"/>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row>
    <row r="56" spans="1:252" s="1" customFormat="1">
      <c r="A56" s="251"/>
      <c r="B56" s="23" t="str">
        <f>IF(Contents!$B$2=2,"by type of environmental impact","по виду воздействия на окружающую среду")</f>
        <v>by type of environmental impact</v>
      </c>
      <c r="C56" s="283"/>
      <c r="D56" s="283"/>
      <c r="E56" s="283"/>
      <c r="F56" s="283"/>
      <c r="G56" s="283"/>
      <c r="H56" s="283"/>
      <c r="I56" s="283"/>
      <c r="J56" s="283"/>
      <c r="K56" s="283"/>
      <c r="L56" s="283"/>
      <c r="M56" s="283"/>
      <c r="N56" s="283"/>
      <c r="O56" s="253"/>
      <c r="P56" s="277"/>
      <c r="Q56" s="253"/>
      <c r="R56" s="606"/>
      <c r="S56" s="606"/>
      <c r="T56" s="606"/>
      <c r="U56" s="606"/>
      <c r="V56" s="606"/>
      <c r="W56" s="606"/>
      <c r="X56" s="606"/>
      <c r="Y56" s="606"/>
      <c r="Z56" s="606"/>
      <c r="AA56" s="58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row>
    <row r="57" spans="1:252" s="1" customFormat="1">
      <c r="A57" s="251"/>
      <c r="B57" s="41" t="str">
        <f>IF(Contents!$B$2=2,"Volume of payments for regulatory impact (including for emissions, charges, waste)","Объем платежей за нормативное воздействие ( в т.ч. за выбросы, сборы, отходы)")</f>
        <v>Volume of payments for regulatory impact (including for emissions, charges, waste)</v>
      </c>
      <c r="C57" s="12" t="str">
        <f>IF(Contents!$B$2=2,"RR th.","тыс. руб.")</f>
        <v>RR th.</v>
      </c>
      <c r="D57" s="10" t="s">
        <v>185</v>
      </c>
      <c r="E57" s="10" t="s">
        <v>185</v>
      </c>
      <c r="F57" s="10" t="s">
        <v>185</v>
      </c>
      <c r="G57" s="10" t="s">
        <v>185</v>
      </c>
      <c r="H57" s="10" t="s">
        <v>185</v>
      </c>
      <c r="I57" s="191" t="s">
        <v>185</v>
      </c>
      <c r="J57" s="191" t="s">
        <v>185</v>
      </c>
      <c r="K57" s="213">
        <v>3877</v>
      </c>
      <c r="L57" s="213">
        <v>4274</v>
      </c>
      <c r="M57" s="213">
        <v>4287</v>
      </c>
      <c r="N57" s="347">
        <v>3877</v>
      </c>
      <c r="O57" s="870"/>
      <c r="P57" s="277" t="str">
        <f>IF(Contents!$B$2=2,"Yes","Да")</f>
        <v>Yes</v>
      </c>
      <c r="Q57" s="253"/>
      <c r="R57" s="273"/>
      <c r="S57" s="273"/>
      <c r="T57" s="56"/>
      <c r="U57" s="60"/>
      <c r="V57" s="297"/>
      <c r="W57" s="277">
        <v>2</v>
      </c>
      <c r="X57" s="297"/>
      <c r="Y57" s="297"/>
      <c r="Z57" s="606"/>
      <c r="AA57" s="58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row>
    <row r="58" spans="1:252" s="1" customFormat="1">
      <c r="A58" s="251"/>
      <c r="B58" s="41" t="str">
        <f>IF(Contents!$B$2=2,"Amount of payments for excess exposure, including","Объем платежей за сверхнормативное воздействие, в т.ч.")</f>
        <v>Amount of payments for excess exposure, including</v>
      </c>
      <c r="C58" s="12" t="str">
        <f>IF(Contents!$B$2=2,"RR th.","тыс. руб.")</f>
        <v>RR th.</v>
      </c>
      <c r="D58" s="10" t="s">
        <v>185</v>
      </c>
      <c r="E58" s="10" t="s">
        <v>185</v>
      </c>
      <c r="F58" s="10" t="s">
        <v>185</v>
      </c>
      <c r="G58" s="10" t="s">
        <v>185</v>
      </c>
      <c r="H58" s="10" t="s">
        <v>185</v>
      </c>
      <c r="I58" s="343">
        <v>306.00110000000001</v>
      </c>
      <c r="J58" s="343">
        <v>346.33020399999998</v>
      </c>
      <c r="K58" s="213">
        <v>7198</v>
      </c>
      <c r="L58" s="213">
        <v>4176</v>
      </c>
      <c r="M58" s="213">
        <v>66</v>
      </c>
      <c r="N58" s="790">
        <v>85</v>
      </c>
      <c r="O58" s="887"/>
      <c r="P58" s="277" t="str">
        <f>IF(Contents!$B$2=2,"Yes","Да")</f>
        <v>Yes</v>
      </c>
      <c r="Q58" s="253"/>
      <c r="R58" s="273" t="s">
        <v>90</v>
      </c>
      <c r="S58" s="273"/>
      <c r="T58" s="56"/>
      <c r="U58" s="60"/>
      <c r="V58" s="297"/>
      <c r="W58" s="277">
        <v>2</v>
      </c>
      <c r="X58" s="277"/>
      <c r="Y58" s="297"/>
      <c r="Z58" s="606"/>
      <c r="AA58" s="58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row>
    <row r="59" spans="1:252" s="1" customFormat="1">
      <c r="A59" s="251"/>
      <c r="B59" s="285" t="str">
        <f>IF(Contents!$B$2=2,"Payments for excess emissions","Объем платежей за сверхнормативные выбросы")</f>
        <v>Payments for excess emissions</v>
      </c>
      <c r="C59" s="12" t="str">
        <f>IF(Contents!$B$2=2,"RR th.","тыс. руб.")</f>
        <v>RR th.</v>
      </c>
      <c r="D59" s="10" t="s">
        <v>185</v>
      </c>
      <c r="E59" s="10" t="s">
        <v>185</v>
      </c>
      <c r="F59" s="10" t="s">
        <v>185</v>
      </c>
      <c r="G59" s="10" t="s">
        <v>185</v>
      </c>
      <c r="H59" s="10" t="s">
        <v>185</v>
      </c>
      <c r="I59" s="343">
        <v>274</v>
      </c>
      <c r="J59" s="343">
        <v>136</v>
      </c>
      <c r="K59" s="213">
        <v>4789</v>
      </c>
      <c r="L59" s="213">
        <v>1619</v>
      </c>
      <c r="M59" s="213">
        <v>58</v>
      </c>
      <c r="N59" s="790">
        <v>0</v>
      </c>
      <c r="O59" s="253"/>
      <c r="P59" s="277" t="str">
        <f>IF(Contents!$B$2=2,"Yes","Да")</f>
        <v>Yes</v>
      </c>
      <c r="Q59" s="253"/>
      <c r="R59" s="273"/>
      <c r="S59" s="56"/>
      <c r="T59" s="56"/>
      <c r="U59" s="273"/>
      <c r="V59" s="297"/>
      <c r="W59" s="277">
        <v>2</v>
      </c>
      <c r="X59" s="277"/>
      <c r="Y59" s="297"/>
      <c r="Z59" s="606"/>
      <c r="AA59" s="58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row>
    <row r="60" spans="1:252">
      <c r="B60" s="285" t="str">
        <f>IF(Contents!$B$2=2,"Payments for excess discharges","Объем платежей за сверхнормативные сбросы")</f>
        <v>Payments for excess discharges</v>
      </c>
      <c r="C60" s="12" t="str">
        <f>IF(Contents!$B$2=2,"RR th.","тыс. руб.")</f>
        <v>RR th.</v>
      </c>
      <c r="D60" s="10" t="s">
        <v>185</v>
      </c>
      <c r="E60" s="10" t="s">
        <v>185</v>
      </c>
      <c r="F60" s="10" t="s">
        <v>185</v>
      </c>
      <c r="G60" s="10" t="s">
        <v>185</v>
      </c>
      <c r="H60" s="10" t="s">
        <v>185</v>
      </c>
      <c r="I60" s="343">
        <v>32</v>
      </c>
      <c r="J60" s="343">
        <v>0.330204</v>
      </c>
      <c r="K60" s="213">
        <v>2409</v>
      </c>
      <c r="L60" s="213">
        <v>2557</v>
      </c>
      <c r="M60" s="213">
        <v>8</v>
      </c>
      <c r="N60" s="790">
        <v>2</v>
      </c>
      <c r="P60" s="277" t="str">
        <f>IF(Contents!$B$2=2,"Yes","Да")</f>
        <v>Yes</v>
      </c>
      <c r="R60" s="273"/>
      <c r="S60" s="56"/>
      <c r="T60" s="56"/>
      <c r="U60" s="273"/>
      <c r="V60" s="297"/>
      <c r="W60" s="277">
        <v>2</v>
      </c>
      <c r="X60" s="277"/>
      <c r="Y60" s="297"/>
      <c r="AA60" s="585"/>
    </row>
    <row r="61" spans="1:252">
      <c r="B61" s="285" t="str">
        <f>IF(Contents!$B$2=2,"Payments for excessive waste disposal","Объем платежей за сверхлимитное размещение отходов")</f>
        <v>Payments for excessive waste disposal</v>
      </c>
      <c r="C61" s="12" t="str">
        <f>IF(Contents!$B$2=2,"RR th.","тыс. руб.")</f>
        <v>RR th.</v>
      </c>
      <c r="D61" s="10" t="s">
        <v>185</v>
      </c>
      <c r="E61" s="10" t="s">
        <v>185</v>
      </c>
      <c r="F61" s="10" t="s">
        <v>185</v>
      </c>
      <c r="G61" s="10" t="s">
        <v>185</v>
      </c>
      <c r="H61" s="10" t="s">
        <v>185</v>
      </c>
      <c r="I61" s="343">
        <v>1.1000000000000001E-3</v>
      </c>
      <c r="J61" s="343">
        <v>210</v>
      </c>
      <c r="K61" s="343">
        <v>0</v>
      </c>
      <c r="L61" s="343">
        <v>0</v>
      </c>
      <c r="M61" s="343">
        <v>0</v>
      </c>
      <c r="N61" s="790">
        <v>83</v>
      </c>
      <c r="P61" s="277" t="str">
        <f>IF(Contents!$B$2=2,"Yes","Да")</f>
        <v>Yes</v>
      </c>
      <c r="R61" s="273"/>
      <c r="S61" s="56"/>
      <c r="T61" s="56"/>
      <c r="U61" s="273"/>
      <c r="V61" s="297"/>
      <c r="W61" s="277">
        <v>2</v>
      </c>
      <c r="X61" s="297"/>
      <c r="Y61" s="297"/>
      <c r="AA61" s="585"/>
    </row>
    <row r="62" spans="1:252" ht="36">
      <c r="B62" s="218" t="str">
        <f>IF(Contents!$B$2=2,"Percentage of environmetnal charges in the total amount of environmental expenses","Доля платежей за негативное воздействие на окружающую среду в общем объеме расходов на окружающую среду")</f>
        <v>Percentage of environmetnal charges in the total amount of environmental expenses</v>
      </c>
      <c r="C62" s="12" t="s">
        <v>0</v>
      </c>
      <c r="D62" s="10" t="s">
        <v>185</v>
      </c>
      <c r="E62" s="10" t="s">
        <v>185</v>
      </c>
      <c r="F62" s="10" t="s">
        <v>185</v>
      </c>
      <c r="G62" s="10" t="s">
        <v>185</v>
      </c>
      <c r="H62" s="10" t="s">
        <v>185</v>
      </c>
      <c r="I62" s="54">
        <v>0.2</v>
      </c>
      <c r="J62" s="54">
        <v>0.2</v>
      </c>
      <c r="K62" s="54">
        <v>0.4</v>
      </c>
      <c r="L62" s="54">
        <v>0.3</v>
      </c>
      <c r="M62" s="54">
        <v>0.1</v>
      </c>
      <c r="N62" s="826">
        <v>0.1</v>
      </c>
      <c r="O62" s="870"/>
      <c r="P62" s="277"/>
      <c r="R62" s="273"/>
      <c r="S62" s="273"/>
      <c r="T62" s="56"/>
      <c r="U62" s="60"/>
      <c r="V62" s="297"/>
      <c r="W62" s="277">
        <v>2</v>
      </c>
      <c r="X62" s="297"/>
      <c r="Y62" s="297"/>
      <c r="AA62" s="585"/>
    </row>
    <row r="63" spans="1:252" s="1" customFormat="1">
      <c r="A63" s="251"/>
      <c r="B63" s="218"/>
      <c r="C63" s="12"/>
      <c r="D63" s="10"/>
      <c r="E63" s="10"/>
      <c r="F63" s="10"/>
      <c r="G63" s="10"/>
      <c r="H63" s="282"/>
      <c r="I63" s="282"/>
      <c r="J63" s="282"/>
      <c r="K63" s="282"/>
      <c r="L63" s="282"/>
      <c r="M63" s="282"/>
      <c r="N63" s="282"/>
      <c r="O63" s="253"/>
      <c r="P63" s="926"/>
      <c r="Q63" s="253"/>
      <c r="R63" s="273"/>
      <c r="S63" s="273"/>
      <c r="T63" s="56"/>
      <c r="U63" s="60"/>
      <c r="V63" s="297"/>
      <c r="W63" s="297"/>
      <c r="X63" s="297"/>
      <c r="Y63" s="297"/>
      <c r="Z63" s="606"/>
      <c r="AA63" s="58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row>
    <row r="64" spans="1:252" s="1" customFormat="1">
      <c r="A64" s="116"/>
      <c r="B64" s="25" t="str">
        <f>IF(Contents!$B$2=2,"Notes:","Примечания:")</f>
        <v>Notes:</v>
      </c>
      <c r="C64" s="61"/>
      <c r="D64" s="62"/>
      <c r="E64" s="62"/>
      <c r="F64" s="62"/>
      <c r="G64" s="62"/>
      <c r="H64" s="62"/>
      <c r="I64" s="62"/>
      <c r="J64" s="62"/>
      <c r="K64" s="62"/>
      <c r="L64" s="825"/>
      <c r="M64" s="63"/>
      <c r="N64" s="253"/>
      <c r="P64" s="56"/>
      <c r="R64" s="56"/>
      <c r="S64" s="56"/>
      <c r="T64" s="56"/>
      <c r="U64" s="60"/>
      <c r="V64" s="56"/>
      <c r="W64" s="56"/>
      <c r="X64" s="56"/>
      <c r="Y64" s="56"/>
      <c r="Z64" s="606"/>
      <c r="AA64" s="585"/>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row>
    <row r="65" spans="1:252" s="1" customFormat="1">
      <c r="A65" s="116"/>
      <c r="B65" s="65" t="str">
        <f>IF(Contents!$B$2=2,B257,B258)</f>
        <v>The Percentage of payments for negative environmental impact in the total amount of the environmental expenses is calculated as the ratio of payments for negative environmental impact to the amount of expenses on environmental protection and payments for negative environmental impact.</v>
      </c>
      <c r="C65" s="65"/>
      <c r="D65" s="65"/>
      <c r="E65" s="65"/>
      <c r="F65" s="65"/>
      <c r="G65" s="65"/>
      <c r="H65" s="65"/>
      <c r="I65" s="65"/>
      <c r="J65" s="65"/>
      <c r="K65" s="65"/>
      <c r="L65" s="65"/>
      <c r="M65" s="65"/>
      <c r="N65" s="65"/>
      <c r="O65" s="253"/>
      <c r="P65" s="56"/>
      <c r="Q65" s="253"/>
      <c r="R65" s="56"/>
      <c r="S65" s="56"/>
      <c r="T65" s="56"/>
      <c r="U65" s="60"/>
      <c r="V65" s="56"/>
      <c r="W65" s="56"/>
      <c r="X65" s="56"/>
      <c r="Y65" s="56"/>
      <c r="Z65" s="606"/>
      <c r="AA65" s="585"/>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row>
    <row r="66" spans="1:252" s="1" customFormat="1">
      <c r="A66" s="251"/>
      <c r="B66" s="43"/>
      <c r="C66" s="43"/>
      <c r="D66" s="43"/>
      <c r="E66" s="43"/>
      <c r="F66" s="43"/>
      <c r="G66" s="43"/>
      <c r="H66" s="43"/>
      <c r="I66" s="43"/>
      <c r="J66" s="43"/>
      <c r="K66" s="43"/>
      <c r="L66" s="43"/>
      <c r="M66" s="43"/>
      <c r="N66" s="43"/>
      <c r="O66" s="253"/>
      <c r="P66" s="606"/>
      <c r="Q66" s="253"/>
      <c r="R66" s="606"/>
      <c r="S66" s="606"/>
      <c r="T66" s="606"/>
      <c r="U66" s="606"/>
      <c r="V66" s="606"/>
      <c r="W66" s="606"/>
      <c r="X66" s="606"/>
      <c r="Y66" s="606"/>
      <c r="Z66" s="606"/>
      <c r="AA66" s="585"/>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row>
    <row r="67" spans="1:252" ht="37.5" customHeight="1">
      <c r="B67" s="291" t="str">
        <f>IF(Contents!$B$2=2,"Expenses on compensation and fines for violating environmental laws","Затраты на компенсации и штрафы за нарушения природоохранного законодательства")</f>
        <v>Expenses on compensation and fines for violating environmental laws</v>
      </c>
      <c r="C67" s="42" t="str">
        <f>IF(Contents!$B$2=2,"RR th.","тыс. руб.")</f>
        <v>RR th.</v>
      </c>
      <c r="D67" s="247" t="s">
        <v>185</v>
      </c>
      <c r="E67" s="247" t="s">
        <v>185</v>
      </c>
      <c r="F67" s="247" t="s">
        <v>185</v>
      </c>
      <c r="G67" s="247" t="s">
        <v>185</v>
      </c>
      <c r="H67" s="247" t="s">
        <v>185</v>
      </c>
      <c r="I67" s="247">
        <v>1660</v>
      </c>
      <c r="J67" s="247">
        <v>1432</v>
      </c>
      <c r="K67" s="247">
        <v>973</v>
      </c>
      <c r="L67" s="247">
        <v>1858</v>
      </c>
      <c r="M67" s="247">
        <v>316</v>
      </c>
      <c r="N67" s="247">
        <v>259</v>
      </c>
      <c r="P67" s="277" t="str">
        <f>IF(Contents!$B$2=2,"Yes","Да")</f>
        <v>Yes</v>
      </c>
      <c r="R67" s="273" t="s">
        <v>90</v>
      </c>
      <c r="S67" s="273"/>
      <c r="T67" s="56"/>
      <c r="U67" s="273" t="str">
        <f>IF(Contents!$B$2=2,"PBCS 16","СОКБ 16")</f>
        <v>PBCS 16</v>
      </c>
      <c r="V67" s="297"/>
      <c r="W67" s="277">
        <v>2</v>
      </c>
      <c r="X67" s="277"/>
      <c r="Y67" s="297"/>
      <c r="AA67" s="585"/>
    </row>
    <row r="68" spans="1:252" s="1" customFormat="1">
      <c r="A68" s="251"/>
      <c r="B68" s="23" t="str">
        <f>IF(Contents!$B$2=2,"by type","по типу")</f>
        <v>by type</v>
      </c>
      <c r="C68" s="283"/>
      <c r="D68" s="283"/>
      <c r="E68" s="283"/>
      <c r="F68" s="283"/>
      <c r="G68" s="283"/>
      <c r="H68" s="283"/>
      <c r="I68" s="283"/>
      <c r="J68" s="283"/>
      <c r="K68" s="283"/>
      <c r="L68" s="283"/>
      <c r="M68" s="283"/>
      <c r="N68" s="283"/>
      <c r="O68" s="253"/>
      <c r="P68" s="277"/>
      <c r="Q68" s="253"/>
      <c r="R68" s="606"/>
      <c r="S68" s="606"/>
      <c r="T68" s="606"/>
      <c r="U68" s="606"/>
      <c r="V68" s="606"/>
      <c r="W68" s="606"/>
      <c r="X68" s="606"/>
      <c r="Y68" s="606"/>
      <c r="Z68" s="606"/>
      <c r="AA68" s="585"/>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row>
    <row r="69" spans="1:252" s="1" customFormat="1" ht="41.25" customHeight="1">
      <c r="A69" s="251"/>
      <c r="B69" s="284" t="str">
        <f>IF(Contents!$B$2=2,"Fines and penalties for violating environmental laws","Штрафы и взыскания за нарушения природоохранного законодательства")</f>
        <v>Fines and penalties for violating environmental laws</v>
      </c>
      <c r="C69" s="12" t="str">
        <f>IF(Contents!$B$2=2,"RR th.","тыс. руб.")</f>
        <v>RR th.</v>
      </c>
      <c r="D69" s="10" t="s">
        <v>185</v>
      </c>
      <c r="E69" s="10" t="s">
        <v>185</v>
      </c>
      <c r="F69" s="10" t="s">
        <v>185</v>
      </c>
      <c r="G69" s="10" t="s">
        <v>185</v>
      </c>
      <c r="H69" s="10" t="s">
        <v>185</v>
      </c>
      <c r="I69" s="10">
        <v>1660</v>
      </c>
      <c r="J69" s="10">
        <v>1432</v>
      </c>
      <c r="K69" s="10">
        <v>973</v>
      </c>
      <c r="L69" s="10">
        <v>1858</v>
      </c>
      <c r="M69" s="10">
        <v>316</v>
      </c>
      <c r="N69" s="548">
        <v>259</v>
      </c>
      <c r="O69" s="253"/>
      <c r="P69" s="277" t="str">
        <f>IF(Contents!$B$2=2,"Yes","Да")</f>
        <v>Yes</v>
      </c>
      <c r="Q69" s="253"/>
      <c r="R69" s="273" t="s">
        <v>90</v>
      </c>
      <c r="S69" s="273"/>
      <c r="T69" s="56"/>
      <c r="U69" s="273" t="str">
        <f>IF(Contents!$B$2=2,"PBCS 16","СОКБ 16")</f>
        <v>PBCS 16</v>
      </c>
      <c r="V69" s="297"/>
      <c r="W69" s="277">
        <v>2</v>
      </c>
      <c r="X69" s="297"/>
      <c r="Y69" s="297"/>
      <c r="Z69" s="606"/>
      <c r="AA69" s="585"/>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row>
    <row r="70" spans="1:252" s="1" customFormat="1">
      <c r="A70" s="251"/>
      <c r="B70" s="285" t="str">
        <f>IF(Contents!$B$2=2,"for cases of non-compliance with laws and regulations in the reporting year","за случаи несоблюдения законов и правил в отчетном году")</f>
        <v>for cases of non-compliance with laws and regulations in the reporting year</v>
      </c>
      <c r="C70" s="12" t="str">
        <f>IF(Contents!$B$2=2,"RR th.","тыс. руб.")</f>
        <v>RR th.</v>
      </c>
      <c r="D70" s="10" t="s">
        <v>185</v>
      </c>
      <c r="E70" s="10" t="s">
        <v>185</v>
      </c>
      <c r="F70" s="10" t="s">
        <v>185</v>
      </c>
      <c r="G70" s="10" t="s">
        <v>185</v>
      </c>
      <c r="H70" s="10" t="s">
        <v>185</v>
      </c>
      <c r="I70" s="343">
        <v>1660</v>
      </c>
      <c r="J70" s="10">
        <v>1432</v>
      </c>
      <c r="K70" s="10">
        <v>973</v>
      </c>
      <c r="L70" s="10">
        <v>150</v>
      </c>
      <c r="M70" s="10">
        <v>240</v>
      </c>
      <c r="N70" s="790">
        <v>140</v>
      </c>
      <c r="O70" s="253"/>
      <c r="P70" s="277" t="str">
        <f>IF(Contents!$B$2=2,"Yes","Да")</f>
        <v>Yes</v>
      </c>
      <c r="Q70" s="253"/>
      <c r="R70" s="273"/>
      <c r="S70" s="56"/>
      <c r="T70" s="56"/>
      <c r="U70" s="273"/>
      <c r="V70" s="297"/>
      <c r="W70" s="277">
        <v>2</v>
      </c>
      <c r="X70" s="297"/>
      <c r="Y70" s="297"/>
      <c r="Z70" s="606"/>
      <c r="AA70" s="585"/>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row>
    <row r="71" spans="1:252">
      <c r="B71" s="285" t="str">
        <f>IF(Contents!$B$2=2,"for cases of non-compliance with laws and regulations in previous years","за случаи несоблюдения законов и правил в предыдущих годах")</f>
        <v>for cases of non-compliance with laws and regulations in previous years</v>
      </c>
      <c r="C71" s="12" t="str">
        <f>IF(Contents!$B$2=2,"RR th.","тыс. руб.")</f>
        <v>RR th.</v>
      </c>
      <c r="D71" s="10" t="s">
        <v>185</v>
      </c>
      <c r="E71" s="10" t="s">
        <v>185</v>
      </c>
      <c r="F71" s="10" t="s">
        <v>185</v>
      </c>
      <c r="G71" s="10" t="s">
        <v>185</v>
      </c>
      <c r="H71" s="10" t="s">
        <v>185</v>
      </c>
      <c r="I71" s="343" t="s">
        <v>185</v>
      </c>
      <c r="J71" s="343" t="s">
        <v>185</v>
      </c>
      <c r="K71" s="506" t="s">
        <v>185</v>
      </c>
      <c r="L71" s="678">
        <v>1708</v>
      </c>
      <c r="M71" s="678">
        <v>76</v>
      </c>
      <c r="N71" s="790">
        <v>119</v>
      </c>
      <c r="P71" s="277" t="str">
        <f>IF(Contents!$B$2=2,"Yes","Да")</f>
        <v>Yes</v>
      </c>
      <c r="R71" s="273"/>
      <c r="S71" s="56"/>
      <c r="T71" s="56"/>
      <c r="U71" s="273"/>
      <c r="V71" s="297"/>
      <c r="W71" s="277">
        <v>2</v>
      </c>
      <c r="X71" s="297"/>
      <c r="Y71" s="297"/>
      <c r="AA71" s="585"/>
    </row>
    <row r="72" spans="1:252" s="1" customFormat="1" ht="33.75" customHeight="1">
      <c r="A72" s="251"/>
      <c r="B72" s="284" t="str">
        <f>IF(Contents!$B$2=2,"Compensation for damage caused to the environment and its components","Компенсация вреда (ущерба), причиненного окружающей среде и ее компонентам")</f>
        <v>Compensation for damage caused to the environment and its components</v>
      </c>
      <c r="C72" s="12" t="str">
        <f>IF(Contents!$B$2=2,"RR th.","тыс. руб.")</f>
        <v>RR th.</v>
      </c>
      <c r="D72" s="10" t="s">
        <v>185</v>
      </c>
      <c r="E72" s="10" t="s">
        <v>185</v>
      </c>
      <c r="F72" s="10" t="s">
        <v>185</v>
      </c>
      <c r="G72" s="10" t="s">
        <v>185</v>
      </c>
      <c r="H72" s="10" t="s">
        <v>185</v>
      </c>
      <c r="I72" s="10" t="s">
        <v>185</v>
      </c>
      <c r="J72" s="10" t="s">
        <v>185</v>
      </c>
      <c r="K72" s="10" t="s">
        <v>185</v>
      </c>
      <c r="L72" s="10" t="s">
        <v>185</v>
      </c>
      <c r="M72" s="10">
        <v>0</v>
      </c>
      <c r="N72" s="548">
        <v>0</v>
      </c>
      <c r="O72" s="253"/>
      <c r="P72" s="926"/>
      <c r="Q72" s="253"/>
      <c r="R72" s="273"/>
      <c r="S72" s="273"/>
      <c r="T72" s="56"/>
      <c r="U72" s="273" t="str">
        <f>IF(Contents!$B$2=2,"PBCS 16","СОКБ 16")</f>
        <v>PBCS 16</v>
      </c>
      <c r="V72" s="297"/>
      <c r="W72" s="277">
        <v>2</v>
      </c>
      <c r="X72" s="297"/>
      <c r="Y72" s="297"/>
      <c r="Z72" s="606"/>
      <c r="AA72" s="585"/>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row>
    <row r="73" spans="1:252" s="1" customFormat="1">
      <c r="A73" s="251"/>
      <c r="B73" s="284"/>
      <c r="C73" s="281"/>
      <c r="D73" s="10"/>
      <c r="E73" s="10"/>
      <c r="F73" s="10"/>
      <c r="G73" s="10"/>
      <c r="H73" s="10"/>
      <c r="I73" s="282"/>
      <c r="J73" s="282"/>
      <c r="K73" s="282"/>
      <c r="L73" s="282"/>
      <c r="M73" s="282"/>
      <c r="N73" s="282"/>
      <c r="O73" s="253"/>
      <c r="P73" s="926"/>
      <c r="Q73" s="253"/>
      <c r="R73" s="273"/>
      <c r="S73" s="273"/>
      <c r="T73" s="56"/>
      <c r="U73" s="60"/>
      <c r="V73" s="297"/>
      <c r="W73" s="297"/>
      <c r="X73" s="297"/>
      <c r="Y73" s="297"/>
      <c r="Z73" s="606"/>
      <c r="AA73" s="585"/>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row>
    <row r="74" spans="1:252" s="1" customFormat="1">
      <c r="A74" s="116"/>
      <c r="B74" s="25" t="str">
        <f>IF(Contents!$B$2=2,"Notes:","Примечания:")</f>
        <v>Notes:</v>
      </c>
      <c r="C74" s="61"/>
      <c r="D74" s="62"/>
      <c r="E74" s="62"/>
      <c r="F74" s="62"/>
      <c r="G74" s="62"/>
      <c r="H74" s="62"/>
      <c r="I74" s="62"/>
      <c r="J74" s="62"/>
      <c r="K74" s="62"/>
      <c r="L74" s="62"/>
      <c r="M74" s="62"/>
      <c r="N74" s="63"/>
      <c r="O74" s="253"/>
      <c r="P74" s="56"/>
      <c r="Q74" s="253"/>
      <c r="R74" s="56"/>
      <c r="S74" s="56"/>
      <c r="T74" s="56"/>
      <c r="U74" s="60"/>
      <c r="V74" s="56"/>
      <c r="W74" s="56"/>
      <c r="X74" s="56"/>
      <c r="Y74" s="56"/>
      <c r="Z74" s="606"/>
      <c r="AA74" s="585"/>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row>
    <row r="75" spans="1:252" s="1" customFormat="1" ht="17.850000000000001" customHeight="1">
      <c r="A75" s="251"/>
      <c r="B75" s="943" t="str">
        <f>IF(Contents!$B$2=2,"Expenses on payment of fines and penalties for violations of environmental laws in the reporting period may include fines for previous years paid in the current reporting period","Затраты на выплату штрафов и взысканий за нарушения природоохранного законодательства в отчетном периоде могут включать оплаченные в текущем отчетном периоде штрафы за прошлые года")</f>
        <v>Expenses on payment of fines and penalties for violations of environmental laws in the reporting period may include fines for previous years paid in the current reporting period</v>
      </c>
      <c r="C75" s="943"/>
      <c r="D75" s="943"/>
      <c r="E75" s="943"/>
      <c r="F75" s="943"/>
      <c r="G75" s="943"/>
      <c r="H75" s="943"/>
      <c r="I75" s="943"/>
      <c r="J75" s="943"/>
      <c r="K75" s="943"/>
      <c r="L75" s="943"/>
      <c r="M75" s="943"/>
      <c r="N75" s="943"/>
      <c r="O75" s="253"/>
      <c r="P75" s="56"/>
      <c r="Q75" s="253"/>
      <c r="R75" s="56"/>
      <c r="S75" s="56"/>
      <c r="T75" s="56"/>
      <c r="U75" s="60"/>
      <c r="V75" s="56"/>
      <c r="W75" s="56"/>
      <c r="X75" s="56"/>
      <c r="Y75" s="56"/>
      <c r="Z75" s="606"/>
      <c r="AA75" s="585"/>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row>
    <row r="76" spans="1:252" s="1" customFormat="1" ht="33.75" customHeight="1">
      <c r="A76" s="251"/>
      <c r="B76" s="943" t="str">
        <f>IF(Contents!$B$2=2,B260,B261)</f>
        <v>Damage compensation costs are calculated as the total amount of compensation for harm (damage) caused to the environment, individual components of the natural environment (land, water bodies, forests, wildlife, etc.) paid by the organization in the reporting period</v>
      </c>
      <c r="C76" s="943"/>
      <c r="D76" s="943"/>
      <c r="E76" s="943"/>
      <c r="F76" s="943"/>
      <c r="G76" s="943"/>
      <c r="H76" s="943"/>
      <c r="I76" s="943"/>
      <c r="J76" s="943"/>
      <c r="K76" s="943"/>
      <c r="L76" s="943"/>
      <c r="M76" s="943"/>
      <c r="N76" s="943"/>
      <c r="O76" s="253"/>
      <c r="P76" s="926"/>
      <c r="Q76" s="253"/>
      <c r="R76" s="273"/>
      <c r="S76" s="273"/>
      <c r="T76" s="56"/>
      <c r="U76" s="60"/>
      <c r="V76" s="297"/>
      <c r="W76" s="297"/>
      <c r="X76" s="297"/>
      <c r="Y76" s="297"/>
      <c r="Z76" s="606"/>
      <c r="AA76" s="585"/>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row>
    <row r="77" spans="1:252" s="1" customFormat="1">
      <c r="A77" s="251"/>
      <c r="B77" s="230"/>
      <c r="C77" s="281"/>
      <c r="D77" s="10"/>
      <c r="E77" s="10"/>
      <c r="F77" s="10"/>
      <c r="G77" s="10"/>
      <c r="H77" s="10"/>
      <c r="I77" s="10"/>
      <c r="J77" s="10"/>
      <c r="K77" s="10"/>
      <c r="L77" s="10"/>
      <c r="M77" s="10"/>
      <c r="N77" s="10"/>
      <c r="O77" s="253"/>
      <c r="P77" s="926"/>
      <c r="Q77" s="253"/>
      <c r="R77" s="273"/>
      <c r="S77" s="273"/>
      <c r="T77" s="56"/>
      <c r="U77" s="60"/>
      <c r="V77" s="297"/>
      <c r="W77" s="297"/>
      <c r="X77" s="297"/>
      <c r="Y77" s="297"/>
      <c r="Z77" s="606"/>
      <c r="AA77" s="585"/>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row>
    <row r="78" spans="1:252" s="1" customFormat="1" ht="20.100000000000001" customHeight="1">
      <c r="A78" s="251"/>
      <c r="B78" s="272" t="str">
        <f>IF(Contents!$B$2=2,"Emissions of pollutants","Выбросы загрязняющих веществ")</f>
        <v>Emissions of pollutants</v>
      </c>
      <c r="C78" s="272"/>
      <c r="D78" s="272"/>
      <c r="E78" s="272"/>
      <c r="F78" s="272"/>
      <c r="G78" s="272"/>
      <c r="H78" s="272"/>
      <c r="I78" s="272"/>
      <c r="J78" s="272"/>
      <c r="K78" s="272"/>
      <c r="L78" s="272"/>
      <c r="M78" s="272"/>
      <c r="N78" s="272"/>
      <c r="O78" s="253"/>
      <c r="P78" s="618"/>
      <c r="Q78" s="253"/>
      <c r="R78" s="618"/>
      <c r="S78" s="618"/>
      <c r="T78" s="618"/>
      <c r="U78" s="618"/>
      <c r="V78" s="618"/>
      <c r="W78" s="618"/>
      <c r="X78" s="618"/>
      <c r="Y78" s="618"/>
      <c r="Z78" s="606"/>
      <c r="AA78" s="585"/>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row>
    <row r="79" spans="1:252" s="1" customFormat="1" ht="25.5">
      <c r="A79" s="251"/>
      <c r="B79" s="75" t="str">
        <f>IF(Contents!$B$2=2,"Emissions of pollutants","Выбросы загрязняющих веществ")</f>
        <v>Emissions of pollutants</v>
      </c>
      <c r="C79" s="42" t="str">
        <f>IF(Contents!$B$2=2,"tons","т")</f>
        <v>tons</v>
      </c>
      <c r="D79" s="295" t="s">
        <v>185</v>
      </c>
      <c r="E79" s="295" t="s">
        <v>185</v>
      </c>
      <c r="F79" s="296">
        <v>91950</v>
      </c>
      <c r="G79" s="296">
        <v>70303</v>
      </c>
      <c r="H79" s="296">
        <v>75603</v>
      </c>
      <c r="I79" s="296">
        <v>87273</v>
      </c>
      <c r="J79" s="296">
        <v>82381.72</v>
      </c>
      <c r="K79" s="296">
        <v>70796</v>
      </c>
      <c r="L79" s="296">
        <v>65779</v>
      </c>
      <c r="M79" s="296">
        <v>56049</v>
      </c>
      <c r="N79" s="296">
        <v>80327.621187118595</v>
      </c>
      <c r="O79" s="253"/>
      <c r="P79" s="277" t="str">
        <f>IF(Contents!$B$2=2,"Yes","Да")</f>
        <v>Yes</v>
      </c>
      <c r="Q79" s="511"/>
      <c r="R79" s="273" t="s">
        <v>92</v>
      </c>
      <c r="S79" s="273" t="s">
        <v>93</v>
      </c>
      <c r="T79" s="273" t="s">
        <v>94</v>
      </c>
      <c r="U79" s="273" t="str">
        <f>IF(Contents!$B$2=2,"PBCS 7","СОКБ 7")</f>
        <v>PBCS 7</v>
      </c>
      <c r="V79" s="273"/>
      <c r="W79" s="277">
        <v>2</v>
      </c>
      <c r="X79" s="277"/>
      <c r="Y79" s="273"/>
      <c r="Z79" s="606"/>
      <c r="AA79" s="585"/>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row>
    <row r="80" spans="1:252" s="1" customFormat="1">
      <c r="A80" s="251"/>
      <c r="B80" s="11" t="str">
        <f>IF(Contents!$B$2=2,"Air emissions in cities","Из них в городах")</f>
        <v>Air emissions in cities</v>
      </c>
      <c r="C80" s="12" t="str">
        <f>IF(Contents!$B$2=2,"tons","т")</f>
        <v>tons</v>
      </c>
      <c r="D80" s="10" t="s">
        <v>185</v>
      </c>
      <c r="E80" s="10" t="s">
        <v>185</v>
      </c>
      <c r="F80" s="10" t="s">
        <v>185</v>
      </c>
      <c r="G80" s="10" t="s">
        <v>185</v>
      </c>
      <c r="H80" s="10">
        <v>15</v>
      </c>
      <c r="I80" s="10">
        <v>19</v>
      </c>
      <c r="J80" s="10">
        <v>51</v>
      </c>
      <c r="K80" s="10">
        <v>84</v>
      </c>
      <c r="L80" s="10">
        <v>314</v>
      </c>
      <c r="M80" s="10">
        <v>785</v>
      </c>
      <c r="N80" s="10">
        <v>601</v>
      </c>
      <c r="O80" s="253"/>
      <c r="P80" s="277" t="str">
        <f>IF(Contents!$B$2=2,"Yes","Да")</f>
        <v>Yes</v>
      </c>
      <c r="Q80" s="511"/>
      <c r="R80" s="297"/>
      <c r="S80" s="56"/>
      <c r="T80" s="56"/>
      <c r="U80" s="60"/>
      <c r="V80" s="297"/>
      <c r="W80" s="277">
        <v>2</v>
      </c>
      <c r="X80" s="277"/>
      <c r="Y80" s="297"/>
      <c r="Z80" s="606"/>
      <c r="AA80" s="585"/>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row>
    <row r="81" spans="1:252" s="1" customFormat="1">
      <c r="A81" s="251"/>
      <c r="B81" s="23" t="str">
        <f>IF(Contents!$B$2=2,"by air emission type","по виду выбрасываемых веществ")</f>
        <v>by air emission type</v>
      </c>
      <c r="C81" s="13"/>
      <c r="D81" s="298"/>
      <c r="E81" s="298"/>
      <c r="F81" s="298"/>
      <c r="G81" s="298"/>
      <c r="H81" s="298"/>
      <c r="I81" s="298"/>
      <c r="J81" s="298"/>
      <c r="K81" s="298"/>
      <c r="L81" s="298"/>
      <c r="M81" s="298"/>
      <c r="N81" s="298"/>
      <c r="O81" s="253"/>
      <c r="P81" s="613"/>
      <c r="Q81" s="511"/>
      <c r="R81" s="273"/>
      <c r="S81" s="273"/>
      <c r="T81" s="273"/>
      <c r="U81" s="273"/>
      <c r="V81" s="613"/>
      <c r="W81" s="613"/>
      <c r="X81" s="613"/>
      <c r="Y81" s="613"/>
      <c r="Z81" s="606"/>
      <c r="AA81" s="585"/>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row>
    <row r="82" spans="1:252" s="1" customFormat="1">
      <c r="A82" s="251"/>
      <c r="B82" s="11" t="str">
        <f>IF(Contents!$B$2=2,"Particulate matter","Твердые вещества")</f>
        <v>Particulate matter</v>
      </c>
      <c r="C82" s="12" t="str">
        <f>IF(Contents!$B$2=2,"tons","т")</f>
        <v>tons</v>
      </c>
      <c r="D82" s="10" t="s">
        <v>185</v>
      </c>
      <c r="E82" s="10" t="s">
        <v>185</v>
      </c>
      <c r="F82" s="205">
        <v>6788</v>
      </c>
      <c r="G82" s="205">
        <v>3874</v>
      </c>
      <c r="H82" s="205">
        <v>2697</v>
      </c>
      <c r="I82" s="205">
        <v>5590</v>
      </c>
      <c r="J82" s="205">
        <v>4129.72</v>
      </c>
      <c r="K82" s="205">
        <v>2819</v>
      </c>
      <c r="L82" s="205">
        <v>1190</v>
      </c>
      <c r="M82" s="205">
        <v>1125</v>
      </c>
      <c r="N82" s="98">
        <v>1414.9961762896</v>
      </c>
      <c r="O82" s="253"/>
      <c r="P82" s="277" t="str">
        <f>IF(Contents!$B$2=2,"Yes","Да")</f>
        <v>Yes</v>
      </c>
      <c r="Q82" s="511"/>
      <c r="R82" s="56"/>
      <c r="S82" s="56"/>
      <c r="T82" s="56"/>
      <c r="U82" s="299"/>
      <c r="V82" s="297"/>
      <c r="W82" s="277">
        <v>2</v>
      </c>
      <c r="X82" s="277"/>
      <c r="Y82" s="297"/>
      <c r="Z82" s="606"/>
      <c r="AA82" s="585"/>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row>
    <row r="83" spans="1:252" s="1" customFormat="1">
      <c r="A83" s="251"/>
      <c r="B83" s="11" t="str">
        <f>IF(Contents!$B$2=2,"Carbon monoxide","Оксид углерода")</f>
        <v>Carbon monoxide</v>
      </c>
      <c r="C83" s="12" t="str">
        <f>IF(Contents!$B$2=2,"tons","т")</f>
        <v>tons</v>
      </c>
      <c r="D83" s="10" t="s">
        <v>185</v>
      </c>
      <c r="E83" s="10" t="s">
        <v>185</v>
      </c>
      <c r="F83" s="205">
        <v>56705</v>
      </c>
      <c r="G83" s="205">
        <v>37387</v>
      </c>
      <c r="H83" s="205">
        <v>40059</v>
      </c>
      <c r="I83" s="205">
        <v>48114</v>
      </c>
      <c r="J83" s="205">
        <v>43733</v>
      </c>
      <c r="K83" s="205">
        <v>34949</v>
      </c>
      <c r="L83" s="205">
        <v>31086</v>
      </c>
      <c r="M83" s="205">
        <v>23242</v>
      </c>
      <c r="N83" s="98">
        <v>43960.890792685001</v>
      </c>
      <c r="O83" s="253"/>
      <c r="P83" s="277" t="str">
        <f>IF(Contents!$B$2=2,"Yes","Да")</f>
        <v>Yes</v>
      </c>
      <c r="Q83" s="511"/>
      <c r="R83" s="56"/>
      <c r="S83" s="56"/>
      <c r="T83" s="56"/>
      <c r="U83" s="299"/>
      <c r="V83" s="297"/>
      <c r="W83" s="277">
        <v>2</v>
      </c>
      <c r="X83" s="277"/>
      <c r="Y83" s="297"/>
      <c r="Z83" s="606"/>
      <c r="AA83" s="585"/>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row>
    <row r="84" spans="1:252">
      <c r="B84" s="11" t="str">
        <f>IF(Contents!$B$2=2,"NOx (as NO2 equivalent)","Оксиды азота (в пересчете на NO2)")</f>
        <v>NOx (as NO2 equivalent)</v>
      </c>
      <c r="C84" s="12" t="str">
        <f>IF(Contents!$B$2=2,"tons","т")</f>
        <v>tons</v>
      </c>
      <c r="D84" s="10" t="s">
        <v>185</v>
      </c>
      <c r="E84" s="10" t="s">
        <v>185</v>
      </c>
      <c r="F84" s="205">
        <v>8483</v>
      </c>
      <c r="G84" s="205">
        <v>8467</v>
      </c>
      <c r="H84" s="205">
        <v>13296</v>
      </c>
      <c r="I84" s="205">
        <v>11083</v>
      </c>
      <c r="J84" s="205">
        <v>13991</v>
      </c>
      <c r="K84" s="205">
        <v>13083</v>
      </c>
      <c r="L84" s="205">
        <v>12471</v>
      </c>
      <c r="M84" s="205">
        <v>11003</v>
      </c>
      <c r="N84" s="98">
        <v>13111.78907586208</v>
      </c>
      <c r="P84" s="277" t="str">
        <f>IF(Contents!$B$2=2,"Yes","Да")</f>
        <v>Yes</v>
      </c>
      <c r="Q84" s="511"/>
      <c r="R84" s="297"/>
      <c r="S84" s="56"/>
      <c r="T84" s="56"/>
      <c r="U84" s="60"/>
      <c r="V84" s="56"/>
      <c r="W84" s="277">
        <v>2</v>
      </c>
      <c r="X84" s="277"/>
      <c r="Y84" s="56"/>
      <c r="AA84" s="585"/>
    </row>
    <row r="85" spans="1:252" s="1" customFormat="1">
      <c r="A85" s="251"/>
      <c r="B85" s="11" t="str">
        <f>IF(Contents!$B$2=2,"SOx (SO2 emissions)","Диоксид серы (выбросы SO2)")</f>
        <v>SOx (SO2 emissions)</v>
      </c>
      <c r="C85" s="12" t="str">
        <f>IF(Contents!$B$2=2,"tons","т")</f>
        <v>tons</v>
      </c>
      <c r="D85" s="10" t="s">
        <v>185</v>
      </c>
      <c r="E85" s="10" t="s">
        <v>185</v>
      </c>
      <c r="F85" s="205">
        <v>21</v>
      </c>
      <c r="G85" s="205">
        <v>28</v>
      </c>
      <c r="H85" s="205">
        <v>62</v>
      </c>
      <c r="I85" s="205">
        <v>78</v>
      </c>
      <c r="J85" s="205">
        <v>76</v>
      </c>
      <c r="K85" s="205">
        <v>399</v>
      </c>
      <c r="L85" s="205">
        <v>74</v>
      </c>
      <c r="M85" s="205">
        <v>202</v>
      </c>
      <c r="N85" s="98">
        <v>260.65298269139998</v>
      </c>
      <c r="O85" s="253"/>
      <c r="P85" s="277" t="str">
        <f>IF(Contents!$B$2=2,"Yes","Да")</f>
        <v>Yes</v>
      </c>
      <c r="Q85" s="511"/>
      <c r="R85" s="56"/>
      <c r="S85" s="56"/>
      <c r="T85" s="56"/>
      <c r="U85" s="60"/>
      <c r="V85" s="56"/>
      <c r="W85" s="277">
        <v>2</v>
      </c>
      <c r="X85" s="277"/>
      <c r="Y85" s="56"/>
      <c r="Z85" s="606"/>
      <c r="AA85" s="585"/>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c r="IQ85" s="14"/>
      <c r="IR85" s="14"/>
    </row>
    <row r="86" spans="1:252" s="1" customFormat="1">
      <c r="A86" s="251"/>
      <c r="B86" s="11" t="str">
        <f>IF(Contents!$B$2=2,"Hydrocarbons (incl. methane)","Углеводороды (включая метан)")</f>
        <v>Hydrocarbons (incl. methane)</v>
      </c>
      <c r="C86" s="12" t="str">
        <f>IF(Contents!$B$2=2,"tons","т")</f>
        <v>tons</v>
      </c>
      <c r="D86" s="10" t="s">
        <v>185</v>
      </c>
      <c r="E86" s="10" t="s">
        <v>185</v>
      </c>
      <c r="F86" s="205">
        <v>7511</v>
      </c>
      <c r="G86" s="205">
        <v>7677</v>
      </c>
      <c r="H86" s="205">
        <v>6166</v>
      </c>
      <c r="I86" s="205">
        <v>8910</v>
      </c>
      <c r="J86" s="205">
        <v>9634</v>
      </c>
      <c r="K86" s="205">
        <v>6343</v>
      </c>
      <c r="L86" s="205">
        <v>6152</v>
      </c>
      <c r="M86" s="205">
        <v>6292</v>
      </c>
      <c r="N86" s="98">
        <v>6574.0820543010004</v>
      </c>
      <c r="O86" s="253"/>
      <c r="P86" s="277" t="str">
        <f>IF(Contents!$B$2=2,"Yes","Да")</f>
        <v>Yes</v>
      </c>
      <c r="Q86" s="511"/>
      <c r="R86" s="56"/>
      <c r="S86" s="56"/>
      <c r="T86" s="56"/>
      <c r="U86" s="60"/>
      <c r="V86" s="56"/>
      <c r="W86" s="277">
        <v>2</v>
      </c>
      <c r="X86" s="277"/>
      <c r="Y86" s="56"/>
      <c r="Z86" s="606"/>
      <c r="AA86" s="585"/>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c r="IQ86" s="14"/>
      <c r="IR86" s="14"/>
    </row>
    <row r="87" spans="1:252" s="1" customFormat="1">
      <c r="A87" s="251"/>
      <c r="B87" s="11" t="str">
        <f>IF(Contents!$B$2=2,"VOCs","ЛОС")</f>
        <v>VOCs</v>
      </c>
      <c r="C87" s="12" t="str">
        <f>IF(Contents!$B$2=2,"tons","т")</f>
        <v>tons</v>
      </c>
      <c r="D87" s="10" t="s">
        <v>185</v>
      </c>
      <c r="E87" s="10" t="s">
        <v>185</v>
      </c>
      <c r="F87" s="205">
        <v>12426</v>
      </c>
      <c r="G87" s="205">
        <v>12852</v>
      </c>
      <c r="H87" s="205">
        <v>13258</v>
      </c>
      <c r="I87" s="205">
        <v>13418</v>
      </c>
      <c r="J87" s="205">
        <v>10791</v>
      </c>
      <c r="K87" s="205">
        <v>13138</v>
      </c>
      <c r="L87" s="205">
        <v>14752</v>
      </c>
      <c r="M87" s="205">
        <v>14153</v>
      </c>
      <c r="N87" s="98">
        <v>14927.2930347523</v>
      </c>
      <c r="O87" s="253"/>
      <c r="P87" s="277" t="str">
        <f>IF(Contents!$B$2=2,"Yes","Да")</f>
        <v>Yes</v>
      </c>
      <c r="Q87" s="511"/>
      <c r="R87" s="297"/>
      <c r="S87" s="56"/>
      <c r="T87" s="56"/>
      <c r="U87" s="60"/>
      <c r="V87" s="942"/>
      <c r="W87" s="277">
        <v>2</v>
      </c>
      <c r="X87" s="277"/>
      <c r="Y87" s="942"/>
      <c r="Z87" s="606"/>
      <c r="AA87" s="585"/>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c r="IQ87" s="14"/>
      <c r="IR87" s="14"/>
    </row>
    <row r="88" spans="1:252" s="1" customFormat="1">
      <c r="A88" s="251"/>
      <c r="B88" s="11" t="str">
        <f>IF(Contents!$B$2=2,"POPs","СОЗ")</f>
        <v>POPs</v>
      </c>
      <c r="C88" s="12" t="str">
        <f>IF(Contents!$B$2=2,"tons","т")</f>
        <v>tons</v>
      </c>
      <c r="D88" s="10" t="s">
        <v>185</v>
      </c>
      <c r="E88" s="10" t="s">
        <v>185</v>
      </c>
      <c r="F88" s="10" t="s">
        <v>185</v>
      </c>
      <c r="G88" s="10" t="s">
        <v>185</v>
      </c>
      <c r="H88" s="10" t="s">
        <v>185</v>
      </c>
      <c r="I88" s="10" t="s">
        <v>185</v>
      </c>
      <c r="J88" s="10" t="s">
        <v>185</v>
      </c>
      <c r="K88" s="10" t="s">
        <v>185</v>
      </c>
      <c r="L88" s="10" t="s">
        <v>185</v>
      </c>
      <c r="M88" s="10">
        <v>0</v>
      </c>
      <c r="N88" s="852">
        <v>0</v>
      </c>
      <c r="O88" s="253"/>
      <c r="P88" s="277" t="str">
        <f>IF(Contents!$B$2=2,"Yes","Да")</f>
        <v>Yes</v>
      </c>
      <c r="Q88" s="511"/>
      <c r="R88" s="297"/>
      <c r="S88" s="56"/>
      <c r="T88" s="56"/>
      <c r="U88" s="60"/>
      <c r="V88" s="942"/>
      <c r="W88" s="297">
        <v>2</v>
      </c>
      <c r="X88" s="297"/>
      <c r="Y88" s="942"/>
      <c r="Z88" s="606"/>
      <c r="AA88" s="585"/>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row>
    <row r="89" spans="1:252" s="1" customFormat="1">
      <c r="A89" s="251"/>
      <c r="B89" s="11" t="str">
        <f>IF(Contents!$B$2=2,"Other","Прочие")</f>
        <v>Other</v>
      </c>
      <c r="C89" s="12" t="str">
        <f>IF(Contents!$B$2=2,"tons","т")</f>
        <v>tons</v>
      </c>
      <c r="D89" s="10" t="s">
        <v>185</v>
      </c>
      <c r="E89" s="10" t="s">
        <v>185</v>
      </c>
      <c r="F89" s="205">
        <v>16</v>
      </c>
      <c r="G89" s="205">
        <v>18</v>
      </c>
      <c r="H89" s="205">
        <v>65</v>
      </c>
      <c r="I89" s="205">
        <v>80</v>
      </c>
      <c r="J89" s="205">
        <v>27</v>
      </c>
      <c r="K89" s="205">
        <v>65</v>
      </c>
      <c r="L89" s="205">
        <v>54</v>
      </c>
      <c r="M89" s="205">
        <v>32</v>
      </c>
      <c r="N89" s="98">
        <v>78</v>
      </c>
      <c r="O89" s="253"/>
      <c r="P89" s="277" t="str">
        <f>IF(Contents!$B$2=2,"Yes","Да")</f>
        <v>Yes</v>
      </c>
      <c r="Q89" s="511"/>
      <c r="R89" s="297"/>
      <c r="S89" s="56"/>
      <c r="T89" s="56"/>
      <c r="U89" s="60"/>
      <c r="V89" s="942"/>
      <c r="W89" s="277">
        <v>2</v>
      </c>
      <c r="X89" s="277"/>
      <c r="Y89" s="942"/>
      <c r="Z89" s="606"/>
      <c r="AA89" s="585"/>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row>
    <row r="90" spans="1:252" s="1" customFormat="1" ht="38.1" customHeight="1">
      <c r="A90" s="251"/>
      <c r="B90" s="11" t="str">
        <f>IF(Contents!$B$2=2,"Hazardous pollutants (benz (a) pyrene, chrome, lead and its inorganic compounds)","Опасные загрязнители (бенз(а)пирен, свинец и его неорганические соединения, хром)")</f>
        <v>Hazardous pollutants (benz (a) pyrene, chrome, lead and its inorganic compounds)</v>
      </c>
      <c r="C90" s="12" t="str">
        <f>IF(Contents!$B$2=2,"tons","т")</f>
        <v>tons</v>
      </c>
      <c r="D90" s="10" t="s">
        <v>185</v>
      </c>
      <c r="E90" s="10" t="s">
        <v>185</v>
      </c>
      <c r="F90" s="10" t="s">
        <v>185</v>
      </c>
      <c r="G90" s="10" t="s">
        <v>185</v>
      </c>
      <c r="H90" s="10" t="s">
        <v>185</v>
      </c>
      <c r="I90" s="10" t="s">
        <v>185</v>
      </c>
      <c r="J90" s="10" t="s">
        <v>185</v>
      </c>
      <c r="K90" s="10" t="s">
        <v>185</v>
      </c>
      <c r="L90" s="10" t="s">
        <v>185</v>
      </c>
      <c r="M90" s="201">
        <v>0.42699999999999999</v>
      </c>
      <c r="N90" s="863">
        <v>0.42699999999999999</v>
      </c>
      <c r="O90" s="875"/>
      <c r="P90" s="277" t="str">
        <f>IF(Contents!$B$2=2,"Yes","Да")</f>
        <v>Yes</v>
      </c>
      <c r="Q90" s="511"/>
      <c r="R90" s="297"/>
      <c r="S90" s="56"/>
      <c r="T90" s="56"/>
      <c r="U90" s="60"/>
      <c r="V90" s="297"/>
      <c r="W90" s="297">
        <v>2</v>
      </c>
      <c r="X90" s="297"/>
      <c r="Y90" s="297"/>
      <c r="Z90" s="606"/>
      <c r="AA90" s="585"/>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row>
    <row r="91" spans="1:252" s="1" customFormat="1" ht="35.450000000000003" customHeight="1">
      <c r="A91" s="251"/>
      <c r="B91" s="52" t="str">
        <f>IF(Contents!$B$2=2,"Ozone-depleting emissions","Выбросы озоноразрушающих веществ")</f>
        <v>Ozone-depleting emissions</v>
      </c>
      <c r="C91" s="12" t="str">
        <f>IF(Contents!$B$2=2,"tons","т")</f>
        <v>tons</v>
      </c>
      <c r="D91" s="10" t="s">
        <v>185</v>
      </c>
      <c r="E91" s="10" t="s">
        <v>185</v>
      </c>
      <c r="F91" s="10" t="s">
        <v>185</v>
      </c>
      <c r="G91" s="10" t="s">
        <v>185</v>
      </c>
      <c r="H91" s="10" t="s">
        <v>185</v>
      </c>
      <c r="I91" s="10" t="s">
        <v>185</v>
      </c>
      <c r="J91" s="10" t="s">
        <v>185</v>
      </c>
      <c r="K91" s="10">
        <v>0</v>
      </c>
      <c r="L91" s="10">
        <v>0</v>
      </c>
      <c r="M91" s="10">
        <v>0</v>
      </c>
      <c r="N91" s="852">
        <v>0</v>
      </c>
      <c r="O91" s="875"/>
      <c r="P91" s="277" t="str">
        <f>IF(Contents!$B$2=2,"Yes","Да")</f>
        <v>Yes</v>
      </c>
      <c r="Q91" s="511"/>
      <c r="R91" s="297" t="s">
        <v>95</v>
      </c>
      <c r="S91" s="297"/>
      <c r="T91" s="297"/>
      <c r="U91" s="60"/>
      <c r="V91" s="297"/>
      <c r="W91" s="277">
        <v>2</v>
      </c>
      <c r="X91" s="297"/>
      <c r="Y91" s="297"/>
      <c r="Z91" s="617"/>
      <c r="AA91" s="585"/>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row>
    <row r="92" spans="1:252" s="1" customFormat="1">
      <c r="A92" s="251"/>
      <c r="B92" s="52"/>
      <c r="C92" s="165"/>
      <c r="D92" s="10"/>
      <c r="E92" s="10"/>
      <c r="F92" s="10"/>
      <c r="G92" s="10"/>
      <c r="H92" s="10"/>
      <c r="I92" s="10"/>
      <c r="J92" s="10"/>
      <c r="K92" s="10"/>
      <c r="L92" s="659"/>
      <c r="M92" s="659"/>
      <c r="N92" s="659"/>
      <c r="O92" s="253"/>
      <c r="P92" s="926"/>
      <c r="Q92" s="511"/>
      <c r="R92" s="297"/>
      <c r="S92" s="297"/>
      <c r="T92" s="297"/>
      <c r="U92" s="60"/>
      <c r="V92" s="297"/>
      <c r="W92" s="277"/>
      <c r="X92" s="297"/>
      <c r="Y92" s="297"/>
      <c r="Z92" s="617"/>
      <c r="AA92" s="585"/>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row>
    <row r="93" spans="1:252" s="1" customFormat="1">
      <c r="A93" s="251"/>
      <c r="B93" s="673" t="str">
        <f>IF(Contents!$B$2=2,"Emissions of pollutants in the Arctic","Выбросы загрязняющих веществ в Арктической зоне")</f>
        <v>Emissions of pollutants in the Arctic</v>
      </c>
      <c r="C93" s="12" t="str">
        <f>IF(Contents!$B$2=2,"tons","т")</f>
        <v>tons</v>
      </c>
      <c r="D93" s="205" t="s">
        <v>185</v>
      </c>
      <c r="E93" s="205" t="s">
        <v>185</v>
      </c>
      <c r="F93" s="205" t="s">
        <v>185</v>
      </c>
      <c r="G93" s="482" t="s">
        <v>185</v>
      </c>
      <c r="H93" s="482" t="s">
        <v>185</v>
      </c>
      <c r="I93" s="482" t="s">
        <v>185</v>
      </c>
      <c r="J93" s="482" t="s">
        <v>185</v>
      </c>
      <c r="K93" s="205">
        <v>67600</v>
      </c>
      <c r="L93" s="205">
        <v>58719</v>
      </c>
      <c r="M93" s="205">
        <v>48849</v>
      </c>
      <c r="N93" s="206">
        <v>71446</v>
      </c>
      <c r="O93" s="253"/>
      <c r="P93" s="928"/>
      <c r="Q93" s="511"/>
      <c r="R93" s="297"/>
      <c r="S93" s="273"/>
      <c r="T93" s="273"/>
      <c r="U93" s="60"/>
      <c r="V93" s="273"/>
      <c r="W93" s="277">
        <v>2</v>
      </c>
      <c r="X93" s="297"/>
      <c r="Y93" s="273"/>
      <c r="Z93" s="606"/>
      <c r="AA93" s="585"/>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row>
    <row r="94" spans="1:252" s="1" customFormat="1">
      <c r="A94" s="251"/>
      <c r="B94" s="673"/>
      <c r="C94" s="12"/>
      <c r="D94" s="205"/>
      <c r="E94" s="205"/>
      <c r="F94" s="205"/>
      <c r="G94" s="482"/>
      <c r="H94" s="482"/>
      <c r="I94" s="482"/>
      <c r="J94" s="482"/>
      <c r="K94" s="205"/>
      <c r="L94" s="205"/>
      <c r="M94" s="205"/>
      <c r="N94" s="205"/>
      <c r="O94" s="253"/>
      <c r="P94" s="928"/>
      <c r="Q94" s="511"/>
      <c r="R94" s="297"/>
      <c r="S94" s="273"/>
      <c r="T94" s="273"/>
      <c r="U94" s="60"/>
      <c r="V94" s="273"/>
      <c r="W94" s="277"/>
      <c r="X94" s="297"/>
      <c r="Y94" s="273"/>
      <c r="Z94" s="606"/>
      <c r="AA94" s="585"/>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row>
    <row r="95" spans="1:252" s="1" customFormat="1">
      <c r="A95" s="116"/>
      <c r="B95" s="683" t="s">
        <v>52</v>
      </c>
      <c r="C95" s="12" t="str">
        <f>IF(Contents!$B$2=2,"tons / th. boe","т / тыс. бнэ")</f>
        <v>tons / th. boe</v>
      </c>
      <c r="D95" s="482" t="s">
        <v>185</v>
      </c>
      <c r="E95" s="482" t="s">
        <v>185</v>
      </c>
      <c r="F95" s="482" t="s">
        <v>185</v>
      </c>
      <c r="G95" s="482" t="s">
        <v>185</v>
      </c>
      <c r="H95" s="482" t="s">
        <v>185</v>
      </c>
      <c r="I95" s="482" t="s">
        <v>185</v>
      </c>
      <c r="J95" s="482" t="s">
        <v>185</v>
      </c>
      <c r="K95" s="482" t="s">
        <v>185</v>
      </c>
      <c r="L95" s="482">
        <v>1.4138741414631242E-2</v>
      </c>
      <c r="M95" s="482">
        <v>1.23613434388259E-2</v>
      </c>
      <c r="N95" s="853">
        <v>1.5099825361667525E-2</v>
      </c>
      <c r="O95" s="253"/>
      <c r="P95" s="928"/>
      <c r="Q95" s="511"/>
      <c r="R95" s="297"/>
      <c r="S95" s="273"/>
      <c r="T95" s="273"/>
      <c r="U95" s="60"/>
      <c r="V95" s="273"/>
      <c r="W95" s="277">
        <v>2</v>
      </c>
      <c r="X95" s="297"/>
      <c r="Y95" s="273"/>
      <c r="Z95" s="606"/>
      <c r="AA95" s="585"/>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row>
    <row r="96" spans="1:252" s="1" customFormat="1" ht="36">
      <c r="A96" s="116"/>
      <c r="B96" s="683" t="str">
        <f>IF(Contents!$B$2=2,"Intensity of nitrogen oxide (NOx) emissions into the atmosphere of Processing / Downstream facilities","Интенсивность выбросов оксидов азота (NOx) в атмосферу предприятий переработки")</f>
        <v>Intensity of nitrogen oxide (NOx) emissions into the atmosphere of Processing / Downstream facilities</v>
      </c>
      <c r="C96" s="12" t="str">
        <f>IF(Contents!$B$2=2,"tons / ton of production","т / т продукции")</f>
        <v>tons / ton of production</v>
      </c>
      <c r="D96" s="482" t="s">
        <v>185</v>
      </c>
      <c r="E96" s="482" t="s">
        <v>185</v>
      </c>
      <c r="F96" s="482" t="s">
        <v>185</v>
      </c>
      <c r="G96" s="482" t="s">
        <v>185</v>
      </c>
      <c r="H96" s="482" t="s">
        <v>185</v>
      </c>
      <c r="I96" s="482" t="s">
        <v>185</v>
      </c>
      <c r="J96" s="482" t="s">
        <v>185</v>
      </c>
      <c r="K96" s="482" t="s">
        <v>185</v>
      </c>
      <c r="L96" s="834">
        <v>7.9092325097210837E-5</v>
      </c>
      <c r="M96" s="834">
        <v>4.0412926173538378E-4</v>
      </c>
      <c r="N96" s="854">
        <v>6.2374193609324586E-5</v>
      </c>
      <c r="O96" s="253"/>
      <c r="P96" s="928"/>
      <c r="Q96" s="511"/>
      <c r="R96" s="297"/>
      <c r="S96" s="273"/>
      <c r="T96" s="273"/>
      <c r="U96" s="60"/>
      <c r="V96" s="273"/>
      <c r="W96" s="277">
        <v>2</v>
      </c>
      <c r="X96" s="297"/>
      <c r="Y96" s="273"/>
      <c r="Z96" s="606"/>
      <c r="AA96" s="585"/>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row>
    <row r="97" spans="1:252" s="1" customFormat="1" ht="36">
      <c r="A97" s="116"/>
      <c r="B97" s="683" t="str">
        <f>IF(Contents!$B$2=2,"Intensity of sulfur oxide (SOx) emissions into the atmosphere of Production / Upstream facilities","Интенсивность выбросов оксидов серы (SOx) в атмосферу предприятий добычи")</f>
        <v>Intensity of sulfur oxide (SOx) emissions into the atmosphere of Production / Upstream facilities</v>
      </c>
      <c r="C97" s="12" t="str">
        <f>IF(Contents!$B$2=2,"tons / th. boe","т / тыс. бнэ")</f>
        <v>tons / th. boe</v>
      </c>
      <c r="D97" s="482" t="s">
        <v>185</v>
      </c>
      <c r="E97" s="482" t="s">
        <v>185</v>
      </c>
      <c r="F97" s="482" t="s">
        <v>185</v>
      </c>
      <c r="G97" s="482" t="s">
        <v>185</v>
      </c>
      <c r="H97" s="482" t="s">
        <v>185</v>
      </c>
      <c r="I97" s="482" t="s">
        <v>185</v>
      </c>
      <c r="J97" s="482" t="s">
        <v>185</v>
      </c>
      <c r="K97" s="482" t="s">
        <v>185</v>
      </c>
      <c r="L97" s="835">
        <v>7.6291494268113693E-5</v>
      </c>
      <c r="M97" s="835">
        <v>1.1993454944558096E-4</v>
      </c>
      <c r="N97" s="855">
        <v>7.3048134627632362E-5</v>
      </c>
      <c r="O97" s="253"/>
      <c r="P97" s="928"/>
      <c r="Q97" s="511"/>
      <c r="R97" s="297"/>
      <c r="S97" s="273"/>
      <c r="T97" s="273"/>
      <c r="U97" s="60"/>
      <c r="V97" s="273"/>
      <c r="W97" s="277">
        <v>2</v>
      </c>
      <c r="X97" s="297"/>
      <c r="Y97" s="273"/>
      <c r="Z97" s="606"/>
      <c r="AA97" s="585"/>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row>
    <row r="98" spans="1:252" s="1" customFormat="1" ht="36">
      <c r="A98" s="116"/>
      <c r="B98" s="683" t="str">
        <f>IF(Contents!$B$2=2,"Intensity of sulfur oxide (SOx) emissions into the atmosphere of Processing / Downstream facilities","Интенсивность выбросов оксидов серы (SOx) в атмосферу предприятий переработки")</f>
        <v>Intensity of sulfur oxide (SOx) emissions into the atmosphere of Processing / Downstream facilities</v>
      </c>
      <c r="C98" s="12" t="str">
        <f>IF(Contents!$B$2=2,"tons / ton of production","т / т продукции")</f>
        <v>tons / ton of production</v>
      </c>
      <c r="D98" s="482" t="s">
        <v>185</v>
      </c>
      <c r="E98" s="482" t="s">
        <v>185</v>
      </c>
      <c r="F98" s="482" t="s">
        <v>185</v>
      </c>
      <c r="G98" s="482" t="s">
        <v>185</v>
      </c>
      <c r="H98" s="482" t="s">
        <v>185</v>
      </c>
      <c r="I98" s="482" t="s">
        <v>185</v>
      </c>
      <c r="J98" s="482" t="s">
        <v>185</v>
      </c>
      <c r="K98" s="482" t="s">
        <v>185</v>
      </c>
      <c r="L98" s="835">
        <v>7.4393088079690488E-7</v>
      </c>
      <c r="M98" s="835">
        <v>4.3277813447030394E-6</v>
      </c>
      <c r="N98" s="855">
        <v>7.8049932504100847E-6</v>
      </c>
      <c r="O98" s="253"/>
      <c r="P98" s="928"/>
      <c r="Q98" s="511"/>
      <c r="R98" s="297"/>
      <c r="S98" s="273"/>
      <c r="T98" s="273"/>
      <c r="U98" s="60"/>
      <c r="V98" s="273"/>
      <c r="W98" s="277">
        <v>2</v>
      </c>
      <c r="X98" s="297"/>
      <c r="Y98" s="273"/>
      <c r="Z98" s="606"/>
      <c r="AA98" s="585"/>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row>
    <row r="99" spans="1:252" s="1" customFormat="1" ht="36">
      <c r="A99" s="116"/>
      <c r="B99" s="683" t="str">
        <f>IF(Contents!$B$2=2,"Intensity of volatile organic compounds (VOCs) emissions into the atmosphere of Production / Upstream facilities","Интенсивность выбросов летучих органических соединений (ЛОС) в атмосферу предприятий добычи")</f>
        <v>Intensity of volatile organic compounds (VOCs) emissions into the atmosphere of Production / Upstream facilities</v>
      </c>
      <c r="C99" s="12" t="str">
        <f>IF(Contents!$B$2=2,"tons / th. boe","т / тыс. бнэ")</f>
        <v>tons / th. boe</v>
      </c>
      <c r="D99" s="482" t="s">
        <v>185</v>
      </c>
      <c r="E99" s="482" t="s">
        <v>185</v>
      </c>
      <c r="F99" s="482" t="s">
        <v>185</v>
      </c>
      <c r="G99" s="482" t="s">
        <v>185</v>
      </c>
      <c r="H99" s="482" t="s">
        <v>185</v>
      </c>
      <c r="I99" s="482" t="s">
        <v>185</v>
      </c>
      <c r="J99" s="482" t="s">
        <v>185</v>
      </c>
      <c r="K99" s="482" t="s">
        <v>185</v>
      </c>
      <c r="L99" s="834">
        <v>5.7999234787602895E-3</v>
      </c>
      <c r="M99" s="834">
        <v>5.4218651866591253E-3</v>
      </c>
      <c r="N99" s="854">
        <v>5.5334993948651092E-3</v>
      </c>
      <c r="O99" s="253"/>
      <c r="P99" s="928"/>
      <c r="Q99" s="511"/>
      <c r="R99" s="297"/>
      <c r="S99" s="273"/>
      <c r="T99" s="273"/>
      <c r="U99" s="60"/>
      <c r="V99" s="273"/>
      <c r="W99" s="277">
        <v>2</v>
      </c>
      <c r="X99" s="297"/>
      <c r="Y99" s="273"/>
      <c r="Z99" s="606"/>
      <c r="AA99" s="585"/>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row>
    <row r="100" spans="1:252" s="1" customFormat="1" ht="36">
      <c r="A100" s="116"/>
      <c r="B100" s="683" t="str">
        <f>IF(Contents!$B$2=2,"Intensity of volatile organic compounds (VOCs) emissions into the atmosphere of Processing / Downstream facilities","Интенсивность выбросов летучих органических соединений (ЛОС) в атмосферу предприятий переработки")</f>
        <v>Intensity of volatile organic compounds (VOCs) emissions into the atmosphere of Processing / Downstream facilities</v>
      </c>
      <c r="C100" s="12" t="str">
        <f>IF(Contents!$B$2=2,"tons / ton of production","т / т продукции")</f>
        <v>tons / ton of production</v>
      </c>
      <c r="D100" s="482" t="s">
        <v>185</v>
      </c>
      <c r="E100" s="482" t="s">
        <v>185</v>
      </c>
      <c r="F100" s="482" t="s">
        <v>185</v>
      </c>
      <c r="G100" s="482" t="s">
        <v>185</v>
      </c>
      <c r="H100" s="482" t="s">
        <v>185</v>
      </c>
      <c r="I100" s="482" t="s">
        <v>185</v>
      </c>
      <c r="J100" s="482" t="s">
        <v>185</v>
      </c>
      <c r="K100" s="482" t="s">
        <v>185</v>
      </c>
      <c r="L100" s="696">
        <v>4.8539244133559455E-4</v>
      </c>
      <c r="M100" s="696">
        <v>4.5202683454049672E-4</v>
      </c>
      <c r="N100" s="856">
        <v>4.5934990593368593E-4</v>
      </c>
      <c r="O100" s="253"/>
      <c r="P100" s="928"/>
      <c r="Q100" s="511"/>
      <c r="R100" s="56"/>
      <c r="S100" s="56"/>
      <c r="T100" s="56"/>
      <c r="U100" s="60"/>
      <c r="V100" s="56"/>
      <c r="W100" s="277">
        <v>2</v>
      </c>
      <c r="X100" s="56"/>
      <c r="Y100" s="56"/>
      <c r="Z100" s="606"/>
      <c r="AA100" s="585"/>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row>
    <row r="101" spans="1:252" s="1" customFormat="1">
      <c r="A101" s="116"/>
      <c r="B101" s="673"/>
      <c r="C101" s="61"/>
      <c r="D101" s="62"/>
      <c r="E101" s="62"/>
      <c r="F101" s="62"/>
      <c r="G101" s="62"/>
      <c r="H101" s="62"/>
      <c r="I101" s="62"/>
      <c r="J101" s="62"/>
      <c r="K101" s="62"/>
      <c r="L101" s="62"/>
      <c r="M101" s="62"/>
      <c r="N101" s="62"/>
      <c r="O101" s="253"/>
      <c r="P101" s="56"/>
      <c r="Q101" s="253"/>
      <c r="R101" s="56"/>
      <c r="S101" s="56"/>
      <c r="T101" s="56"/>
      <c r="U101" s="60"/>
      <c r="V101" s="56"/>
      <c r="W101" s="56"/>
      <c r="X101" s="56"/>
      <c r="Y101" s="56"/>
      <c r="Z101" s="606"/>
      <c r="AA101" s="585"/>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row>
    <row r="102" spans="1:252" s="1" customFormat="1">
      <c r="A102" s="116"/>
      <c r="B102" s="25" t="str">
        <f>IF(Contents!$B$2=2,"Notes:","Примечания:")</f>
        <v>Notes:</v>
      </c>
      <c r="C102" s="61"/>
      <c r="D102" s="62"/>
      <c r="E102" s="62"/>
      <c r="F102" s="62"/>
      <c r="G102" s="62"/>
      <c r="H102" s="62"/>
      <c r="I102" s="62"/>
      <c r="J102" s="62"/>
      <c r="K102" s="62"/>
      <c r="L102" s="62"/>
      <c r="M102" s="62"/>
      <c r="N102" s="63"/>
      <c r="O102" s="253"/>
      <c r="P102" s="56"/>
      <c r="Q102" s="253"/>
      <c r="R102" s="56"/>
      <c r="S102" s="56"/>
      <c r="T102" s="56"/>
      <c r="U102" s="60"/>
      <c r="V102" s="56"/>
      <c r="W102" s="56"/>
      <c r="X102" s="56"/>
      <c r="Y102" s="56"/>
      <c r="Z102" s="606"/>
      <c r="AA102" s="585"/>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row>
    <row r="103" spans="1:252" s="1" customFormat="1">
      <c r="A103" s="116"/>
      <c r="B103" s="65" t="str">
        <f>IF(Contents!$B$2=2,"The category Hazardous pollutants (benz (a) pyrene, lead and its inorganic compounds) is not taken into account when calculating the total amount of air emissions due to the fact that its components are included in other emission categories.","Категория Опасные загрязнители (бенз(а)пирен, свинец и его неорганические соединения) не учитывается при подсчете общего объема выбросов в атмосферу в связи с тем, что его составляющие входят в прочие категории выбросов.")</f>
        <v>The category Hazardous pollutants (benz (a) pyrene, lead and its inorganic compounds) is not taken into account when calculating the total amount of air emissions due to the fact that its components are included in other emission categories.</v>
      </c>
      <c r="C103" s="65"/>
      <c r="D103" s="65"/>
      <c r="E103" s="65"/>
      <c r="F103" s="65"/>
      <c r="G103" s="65"/>
      <c r="H103" s="65"/>
      <c r="I103" s="65"/>
      <c r="J103" s="65"/>
      <c r="K103" s="65"/>
      <c r="L103" s="65"/>
      <c r="M103" s="65"/>
      <c r="N103" s="65"/>
      <c r="O103" s="253"/>
      <c r="P103" s="56"/>
      <c r="Q103" s="253"/>
      <c r="R103" s="56" t="s">
        <v>52</v>
      </c>
      <c r="S103" s="56"/>
      <c r="T103" s="56"/>
      <c r="U103" s="60"/>
      <c r="V103" s="56"/>
      <c r="W103" s="56"/>
      <c r="X103" s="56"/>
      <c r="Y103" s="56"/>
      <c r="Z103" s="606"/>
      <c r="AA103" s="585"/>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row>
    <row r="104" spans="1:252" s="1" customFormat="1">
      <c r="A104" s="116"/>
      <c r="B104" s="65" t="str">
        <f>IF(Contents!$B$2=2,"Air emissions in cities are calculated in large cities such as Chelyabinsk, Zlatoust, Rostov-on-Don and Volgograd.","Выбросы в атмосферу в городах рассчитываются в крупных городах, таких как Челябинск, Златоуст, Ростов-на-Дону и Волгоград.")</f>
        <v>Air emissions in cities are calculated in large cities such as Chelyabinsk, Zlatoust, Rostov-on-Don and Volgograd.</v>
      </c>
      <c r="C104" s="65"/>
      <c r="D104" s="65"/>
      <c r="E104" s="65"/>
      <c r="F104" s="65"/>
      <c r="G104" s="65"/>
      <c r="H104" s="65"/>
      <c r="I104" s="65"/>
      <c r="J104" s="65"/>
      <c r="K104" s="65"/>
      <c r="L104" s="65"/>
      <c r="M104" s="65"/>
      <c r="N104" s="65"/>
      <c r="O104" s="253"/>
      <c r="P104" s="56"/>
      <c r="Q104" s="253"/>
      <c r="R104" s="56"/>
      <c r="S104" s="56"/>
      <c r="T104" s="56"/>
      <c r="U104" s="60"/>
      <c r="V104" s="56"/>
      <c r="W104" s="56"/>
      <c r="X104" s="56"/>
      <c r="Y104" s="56"/>
      <c r="Z104" s="606"/>
      <c r="AA104" s="585"/>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row>
    <row r="105" spans="1:252" s="1" customFormat="1">
      <c r="A105" s="116"/>
      <c r="B105" s="65" t="str">
        <f>IF(Contents!$B$2=2,"Specific air emissions are calculated by dividing total air emissions (NOx, SO2, CO, PM, VOC, hydrocarbons, etc.) by the volume of production, including the Company's share in joint ventures.","Удельные выбросы в атмосферу рассчитываются путем деления суммарных выбросов в атмосферу (NOx, SO2, CO, ТЧ, ЛОС, углеводороды и т. д.) на объем производства, включая долю Компании в совместных предприятиях.")</f>
        <v>Specific air emissions are calculated by dividing total air emissions (NOx, SO2, CO, PM, VOC, hydrocarbons, etc.) by the volume of production, including the Company's share in joint ventures.</v>
      </c>
      <c r="C105" s="65"/>
      <c r="D105" s="65"/>
      <c r="E105" s="65"/>
      <c r="F105" s="65"/>
      <c r="G105" s="65"/>
      <c r="H105" s="65"/>
      <c r="I105" s="65"/>
      <c r="J105" s="514"/>
      <c r="K105" s="514"/>
      <c r="L105" s="514"/>
      <c r="M105" s="514"/>
      <c r="N105" s="514"/>
      <c r="O105" s="253"/>
      <c r="P105" s="56"/>
      <c r="Q105" s="253"/>
      <c r="R105" s="56"/>
      <c r="S105" s="56"/>
      <c r="T105" s="56"/>
      <c r="U105" s="60"/>
      <c r="V105" s="56"/>
      <c r="W105" s="56"/>
      <c r="X105" s="56"/>
      <c r="Y105" s="56"/>
      <c r="Z105" s="606"/>
      <c r="AA105" s="585"/>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row>
    <row r="106" spans="1:252" s="1" customFormat="1">
      <c r="A106" s="116"/>
      <c r="B106" s="65" t="str">
        <f>IF(Contents!$B$2=2,"Emissions of ozone-depleting substances include production, import and export of ozone-depleting substances in tonnes.","Показатель Выбросы озоноразрушающих веществ включает объем производства, импорта, а также экспорта озоноразрушающих веществ в тоннах.")</f>
        <v>Emissions of ozone-depleting substances include production, import and export of ozone-depleting substances in tonnes.</v>
      </c>
      <c r="C106" s="65"/>
      <c r="D106" s="65"/>
      <c r="E106" s="65"/>
      <c r="F106" s="65"/>
      <c r="G106" s="65"/>
      <c r="H106" s="65"/>
      <c r="I106" s="65"/>
      <c r="J106" s="514"/>
      <c r="K106" s="514"/>
      <c r="L106" s="514"/>
      <c r="M106" s="514"/>
      <c r="N106" s="514"/>
      <c r="O106" s="253"/>
      <c r="P106" s="56"/>
      <c r="Q106" s="253"/>
      <c r="R106" s="56"/>
      <c r="S106" s="56"/>
      <c r="T106" s="56"/>
      <c r="U106" s="60"/>
      <c r="V106" s="56"/>
      <c r="W106" s="56"/>
      <c r="X106" s="56"/>
      <c r="Y106" s="56"/>
      <c r="Z106" s="606"/>
      <c r="AA106" s="585"/>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row>
    <row r="107" spans="1:252">
      <c r="A107" s="116"/>
      <c r="B107" s="300"/>
      <c r="C107" s="301"/>
      <c r="D107" s="301"/>
      <c r="E107" s="301"/>
      <c r="F107" s="301"/>
      <c r="G107" s="301"/>
      <c r="H107" s="301"/>
      <c r="I107" s="301"/>
      <c r="J107" s="514"/>
      <c r="K107" s="514"/>
      <c r="L107" s="514"/>
      <c r="M107" s="514"/>
      <c r="N107" s="514"/>
      <c r="P107" s="56"/>
      <c r="R107" s="56"/>
      <c r="S107" s="56"/>
      <c r="T107" s="56"/>
      <c r="U107" s="60"/>
      <c r="V107" s="56"/>
      <c r="W107" s="56"/>
      <c r="X107" s="56"/>
      <c r="Y107" s="56"/>
      <c r="AA107" s="585"/>
    </row>
    <row r="108" spans="1:252" ht="20.100000000000001" customHeight="1">
      <c r="A108" s="116"/>
      <c r="B108" s="272" t="str">
        <f>IF(Contents!$B$2=2,"Waste","Отходы")</f>
        <v>Waste</v>
      </c>
      <c r="C108" s="272"/>
      <c r="D108" s="272"/>
      <c r="E108" s="272"/>
      <c r="F108" s="272"/>
      <c r="G108" s="272"/>
      <c r="H108" s="272"/>
      <c r="I108" s="272"/>
      <c r="J108" s="272"/>
      <c r="K108" s="272"/>
      <c r="L108" s="272"/>
      <c r="M108" s="272"/>
      <c r="N108" s="272"/>
      <c r="P108" s="619"/>
      <c r="R108" s="619"/>
      <c r="S108" s="619"/>
      <c r="T108" s="619"/>
      <c r="U108" s="619"/>
      <c r="V108" s="619"/>
      <c r="W108" s="619"/>
      <c r="X108" s="619"/>
      <c r="Y108" s="619"/>
      <c r="AA108" s="585"/>
    </row>
    <row r="109" spans="1:252" s="1" customFormat="1" ht="26.45" customHeight="1">
      <c r="A109" s="116"/>
      <c r="B109" s="196" t="str">
        <f>IF(Contents!$B$2=2,"Waste generation","Образование отходов")</f>
        <v>Waste generation</v>
      </c>
      <c r="C109" s="42" t="str">
        <f>IF(Contents!$B$2=2,"tons","т")</f>
        <v>tons</v>
      </c>
      <c r="D109" s="302" t="s">
        <v>185</v>
      </c>
      <c r="E109" s="302" t="s">
        <v>185</v>
      </c>
      <c r="F109" s="302" t="s">
        <v>185</v>
      </c>
      <c r="G109" s="303">
        <v>71300</v>
      </c>
      <c r="H109" s="303">
        <v>79778</v>
      </c>
      <c r="I109" s="303">
        <v>47214</v>
      </c>
      <c r="J109" s="303">
        <v>53461</v>
      </c>
      <c r="K109" s="303">
        <v>91059</v>
      </c>
      <c r="L109" s="303">
        <v>72247</v>
      </c>
      <c r="M109" s="303">
        <v>117698</v>
      </c>
      <c r="N109" s="303">
        <v>110335</v>
      </c>
      <c r="O109" s="869"/>
      <c r="P109" s="277" t="str">
        <f>IF(Contents!$B$2=2,"Yes","Да")</f>
        <v>Yes</v>
      </c>
      <c r="Q109" s="511"/>
      <c r="R109" s="297" t="s">
        <v>96</v>
      </c>
      <c r="S109" s="56"/>
      <c r="T109" s="56"/>
      <c r="U109" s="56"/>
      <c r="V109" s="56"/>
      <c r="W109" s="277">
        <v>2</v>
      </c>
      <c r="X109" s="277"/>
      <c r="Y109" s="56"/>
      <c r="Z109" s="606"/>
      <c r="AA109" s="585"/>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row>
    <row r="110" spans="1:252" s="1" customFormat="1">
      <c r="A110" s="116"/>
      <c r="B110" s="23" t="str">
        <f>IF(Contents!$B$2=2,"by waste hazard class","по классам опасности отходов")</f>
        <v>by waste hazard class</v>
      </c>
      <c r="C110" s="13"/>
      <c r="D110" s="304"/>
      <c r="E110" s="304"/>
      <c r="F110" s="69"/>
      <c r="G110" s="69"/>
      <c r="H110" s="69"/>
      <c r="I110" s="305"/>
      <c r="J110" s="73"/>
      <c r="K110" s="73"/>
      <c r="L110" s="73"/>
      <c r="M110" s="73"/>
      <c r="N110" s="73"/>
      <c r="O110" s="253"/>
      <c r="P110" s="56"/>
      <c r="Q110" s="511"/>
      <c r="R110" s="297"/>
      <c r="S110" s="56"/>
      <c r="T110" s="56" t="s">
        <v>97</v>
      </c>
      <c r="U110" s="273" t="str">
        <f>IF(Contents!$B$2=2,"PBCS 5","СОКБ 5")</f>
        <v>PBCS 5</v>
      </c>
      <c r="V110" s="56"/>
      <c r="W110" s="56"/>
      <c r="X110" s="56"/>
      <c r="Y110" s="56"/>
      <c r="Z110" s="606"/>
      <c r="AA110" s="585"/>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row>
    <row r="111" spans="1:252" s="1" customFormat="1" ht="25.5">
      <c r="A111" s="116"/>
      <c r="B111" s="41" t="str">
        <f>IF(Contents!$B$2=2,"Hazardous waste (hazard classes I-III)","Опасные отходы (I-III классы опасности)")</f>
        <v>Hazardous waste (hazard classes I-III)</v>
      </c>
      <c r="C111" s="12" t="str">
        <f>IF(Contents!$B$2=2,"tons","т")</f>
        <v>tons</v>
      </c>
      <c r="D111" s="10" t="s">
        <v>185</v>
      </c>
      <c r="E111" s="10" t="s">
        <v>185</v>
      </c>
      <c r="F111" s="10" t="s">
        <v>185</v>
      </c>
      <c r="G111" s="306">
        <v>1800</v>
      </c>
      <c r="H111" s="306">
        <v>1138</v>
      </c>
      <c r="I111" s="101">
        <v>1949</v>
      </c>
      <c r="J111" s="101">
        <v>1507</v>
      </c>
      <c r="K111" s="101">
        <v>2010</v>
      </c>
      <c r="L111" s="101">
        <v>2797</v>
      </c>
      <c r="M111" s="101">
        <v>23801</v>
      </c>
      <c r="N111" s="204">
        <v>23473</v>
      </c>
      <c r="O111" s="253"/>
      <c r="P111" s="277" t="str">
        <f>IF(Contents!$B$2=2,"Yes","Да")</f>
        <v>Yes</v>
      </c>
      <c r="Q111" s="511"/>
      <c r="R111" s="892" t="s">
        <v>96</v>
      </c>
      <c r="S111" s="308"/>
      <c r="T111" s="308"/>
      <c r="U111" s="308"/>
      <c r="V111" s="308"/>
      <c r="W111" s="277">
        <v>2</v>
      </c>
      <c r="X111" s="308"/>
      <c r="Y111" s="308"/>
      <c r="Z111" s="606"/>
      <c r="AA111" s="585"/>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row>
    <row r="112" spans="1:252" s="1" customFormat="1" ht="25.5">
      <c r="A112" s="116"/>
      <c r="B112" s="41" t="str">
        <f>IF(Contents!$B$2=2,"Non-hazardous waste (hazard classes IV-V)","Неопасные отходы (IV-V классы опасности)")</f>
        <v>Non-hazardous waste (hazard classes IV-V)</v>
      </c>
      <c r="C112" s="12" t="str">
        <f>IF(Contents!$B$2=2,"tons","т")</f>
        <v>tons</v>
      </c>
      <c r="D112" s="10" t="s">
        <v>185</v>
      </c>
      <c r="E112" s="10" t="s">
        <v>185</v>
      </c>
      <c r="F112" s="10" t="s">
        <v>185</v>
      </c>
      <c r="G112" s="306">
        <v>69500</v>
      </c>
      <c r="H112" s="306">
        <v>78640</v>
      </c>
      <c r="I112" s="101">
        <v>45265</v>
      </c>
      <c r="J112" s="101">
        <v>51954</v>
      </c>
      <c r="K112" s="101">
        <v>89049</v>
      </c>
      <c r="L112" s="101">
        <v>69450</v>
      </c>
      <c r="M112" s="101">
        <v>93897</v>
      </c>
      <c r="N112" s="204">
        <v>86862</v>
      </c>
      <c r="O112" s="253"/>
      <c r="P112" s="277" t="str">
        <f>IF(Contents!$B$2=2,"Yes","Да")</f>
        <v>Yes</v>
      </c>
      <c r="Q112" s="511"/>
      <c r="R112" s="892" t="s">
        <v>96</v>
      </c>
      <c r="S112" s="308"/>
      <c r="T112" s="308"/>
      <c r="U112" s="308"/>
      <c r="V112" s="308"/>
      <c r="W112" s="277">
        <v>2</v>
      </c>
      <c r="X112" s="308"/>
      <c r="Y112" s="308"/>
      <c r="Z112" s="606"/>
      <c r="AA112" s="585"/>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row>
    <row r="113" spans="1:252" s="1" customFormat="1" ht="29.1" customHeight="1">
      <c r="A113" s="116"/>
      <c r="B113" s="11" t="str">
        <f>IF(Contents!$B$2=2,"Hazard class I","I класс опасности")</f>
        <v>Hazard class I</v>
      </c>
      <c r="C113" s="12" t="str">
        <f>IF(Contents!$B$2=2,"tons","т")</f>
        <v>tons</v>
      </c>
      <c r="D113" s="10" t="s">
        <v>185</v>
      </c>
      <c r="E113" s="10" t="s">
        <v>185</v>
      </c>
      <c r="F113" s="10" t="s">
        <v>185</v>
      </c>
      <c r="G113" s="306" t="s">
        <v>185</v>
      </c>
      <c r="H113" s="306" t="s">
        <v>185</v>
      </c>
      <c r="I113" s="306" t="s">
        <v>185</v>
      </c>
      <c r="J113" s="101">
        <v>3</v>
      </c>
      <c r="K113" s="101">
        <v>4</v>
      </c>
      <c r="L113" s="101">
        <v>2</v>
      </c>
      <c r="M113" s="101">
        <v>4</v>
      </c>
      <c r="N113" s="307">
        <v>2</v>
      </c>
      <c r="O113" s="879"/>
      <c r="P113" s="277" t="str">
        <f>IF(Contents!$B$2=2,"Yes","Да")</f>
        <v>Yes</v>
      </c>
      <c r="Q113" s="511"/>
      <c r="R113" s="892" t="s">
        <v>96</v>
      </c>
      <c r="S113" s="71"/>
      <c r="T113" s="71"/>
      <c r="U113" s="71"/>
      <c r="V113" s="71"/>
      <c r="W113" s="277">
        <v>2</v>
      </c>
      <c r="X113" s="308"/>
      <c r="Y113" s="71"/>
      <c r="Z113" s="606"/>
      <c r="AA113" s="585"/>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c r="IQ113" s="14"/>
      <c r="IR113" s="14"/>
    </row>
    <row r="114" spans="1:252" s="1" customFormat="1" ht="21" customHeight="1">
      <c r="A114" s="116"/>
      <c r="B114" s="11" t="str">
        <f>IF(Contents!$B$2=2,"Hazard class II","II класс опасности")</f>
        <v>Hazard class II</v>
      </c>
      <c r="C114" s="12" t="str">
        <f>IF(Contents!$B$2=2,"tons","т")</f>
        <v>tons</v>
      </c>
      <c r="D114" s="10" t="s">
        <v>185</v>
      </c>
      <c r="E114" s="10" t="s">
        <v>185</v>
      </c>
      <c r="F114" s="10" t="s">
        <v>185</v>
      </c>
      <c r="G114" s="306" t="s">
        <v>185</v>
      </c>
      <c r="H114" s="306" t="s">
        <v>185</v>
      </c>
      <c r="I114" s="306" t="s">
        <v>185</v>
      </c>
      <c r="J114" s="101">
        <v>37</v>
      </c>
      <c r="K114" s="101">
        <v>35</v>
      </c>
      <c r="L114" s="101">
        <v>55</v>
      </c>
      <c r="M114" s="101">
        <v>150</v>
      </c>
      <c r="N114" s="307">
        <v>126</v>
      </c>
      <c r="O114" s="879"/>
      <c r="P114" s="277" t="str">
        <f>IF(Contents!$B$2=2,"Yes","Да")</f>
        <v>Yes</v>
      </c>
      <c r="Q114" s="511"/>
      <c r="R114" s="892" t="s">
        <v>96</v>
      </c>
      <c r="S114" s="55"/>
      <c r="T114" s="55"/>
      <c r="U114" s="55"/>
      <c r="V114" s="55"/>
      <c r="W114" s="277">
        <v>2</v>
      </c>
      <c r="X114" s="55"/>
      <c r="Y114" s="55"/>
      <c r="Z114" s="606"/>
      <c r="AA114" s="585"/>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c r="IQ114" s="14"/>
      <c r="IR114" s="14"/>
    </row>
    <row r="115" spans="1:252" s="1" customFormat="1" ht="22.5" customHeight="1">
      <c r="A115" s="116"/>
      <c r="B115" s="11" t="str">
        <f>IF(Contents!$B$2=2,"Hazard class III","III класс опасности")</f>
        <v>Hazard class III</v>
      </c>
      <c r="C115" s="12" t="str">
        <f>IF(Contents!$B$2=2,"tons","т")</f>
        <v>tons</v>
      </c>
      <c r="D115" s="10" t="s">
        <v>185</v>
      </c>
      <c r="E115" s="10" t="s">
        <v>185</v>
      </c>
      <c r="F115" s="10" t="s">
        <v>185</v>
      </c>
      <c r="G115" s="306" t="s">
        <v>185</v>
      </c>
      <c r="H115" s="306" t="s">
        <v>185</v>
      </c>
      <c r="I115" s="306" t="s">
        <v>185</v>
      </c>
      <c r="J115" s="101">
        <v>1467</v>
      </c>
      <c r="K115" s="101">
        <v>1971</v>
      </c>
      <c r="L115" s="101">
        <v>2740</v>
      </c>
      <c r="M115" s="101">
        <v>23647</v>
      </c>
      <c r="N115" s="307">
        <v>23345</v>
      </c>
      <c r="O115" s="879"/>
      <c r="P115" s="277" t="str">
        <f>IF(Contents!$B$2=2,"Yes","Да")</f>
        <v>Yes</v>
      </c>
      <c r="Q115" s="511"/>
      <c r="R115" s="892" t="s">
        <v>96</v>
      </c>
      <c r="S115" s="55"/>
      <c r="T115" s="55"/>
      <c r="U115" s="55"/>
      <c r="V115" s="55"/>
      <c r="W115" s="277">
        <v>2</v>
      </c>
      <c r="X115" s="55"/>
      <c r="Y115" s="55"/>
      <c r="Z115" s="606"/>
      <c r="AA115" s="585"/>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c r="IJ115" s="14"/>
      <c r="IK115" s="14"/>
      <c r="IL115" s="14"/>
      <c r="IM115" s="14"/>
      <c r="IN115" s="14"/>
      <c r="IO115" s="14"/>
      <c r="IP115" s="14"/>
      <c r="IQ115" s="14"/>
      <c r="IR115" s="14"/>
    </row>
    <row r="116" spans="1:252" s="1" customFormat="1" ht="25.5" customHeight="1">
      <c r="A116" s="116"/>
      <c r="B116" s="11" t="str">
        <f>IF(Contents!$B$2=2,"Hazard class IV","IV класс опасности")</f>
        <v>Hazard class IV</v>
      </c>
      <c r="C116" s="12" t="str">
        <f>IF(Contents!$B$2=2,"tons","т")</f>
        <v>tons</v>
      </c>
      <c r="D116" s="10" t="s">
        <v>185</v>
      </c>
      <c r="E116" s="10" t="s">
        <v>185</v>
      </c>
      <c r="F116" s="10" t="s">
        <v>185</v>
      </c>
      <c r="G116" s="306" t="s">
        <v>185</v>
      </c>
      <c r="H116" s="306" t="s">
        <v>185</v>
      </c>
      <c r="I116" s="306" t="s">
        <v>185</v>
      </c>
      <c r="J116" s="101">
        <v>48728</v>
      </c>
      <c r="K116" s="101">
        <v>85209</v>
      </c>
      <c r="L116" s="101">
        <v>65352</v>
      </c>
      <c r="M116" s="101">
        <v>87696</v>
      </c>
      <c r="N116" s="307">
        <v>81454</v>
      </c>
      <c r="O116" s="879"/>
      <c r="P116" s="277" t="str">
        <f>IF(Contents!$B$2=2,"Yes","Да")</f>
        <v>Yes</v>
      </c>
      <c r="Q116" s="511"/>
      <c r="R116" s="892" t="s">
        <v>96</v>
      </c>
      <c r="S116" s="55"/>
      <c r="T116" s="55"/>
      <c r="U116" s="55"/>
      <c r="V116" s="55"/>
      <c r="W116" s="277">
        <v>2</v>
      </c>
      <c r="X116" s="55"/>
      <c r="Y116" s="55"/>
      <c r="Z116" s="606"/>
      <c r="AA116" s="585"/>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c r="IQ116" s="14"/>
      <c r="IR116" s="14"/>
    </row>
    <row r="117" spans="1:252" s="1" customFormat="1" ht="21" customHeight="1">
      <c r="A117" s="116"/>
      <c r="B117" s="11" t="str">
        <f>IF(Contents!$B$2=2,"Hazard class V","V класс опасности")</f>
        <v>Hazard class V</v>
      </c>
      <c r="C117" s="12" t="str">
        <f>IF(Contents!$B$2=2,"tons","т")</f>
        <v>tons</v>
      </c>
      <c r="D117" s="10" t="s">
        <v>185</v>
      </c>
      <c r="E117" s="10" t="s">
        <v>185</v>
      </c>
      <c r="F117" s="10" t="s">
        <v>185</v>
      </c>
      <c r="G117" s="306" t="s">
        <v>185</v>
      </c>
      <c r="H117" s="306" t="s">
        <v>185</v>
      </c>
      <c r="I117" s="306" t="s">
        <v>185</v>
      </c>
      <c r="J117" s="101">
        <v>3226</v>
      </c>
      <c r="K117" s="101">
        <v>3840</v>
      </c>
      <c r="L117" s="101">
        <v>4098</v>
      </c>
      <c r="M117" s="101">
        <v>6201</v>
      </c>
      <c r="N117" s="307">
        <v>5408</v>
      </c>
      <c r="O117" s="879"/>
      <c r="P117" s="277" t="str">
        <f>IF(Contents!$B$2=2,"Yes","Да")</f>
        <v>Yes</v>
      </c>
      <c r="Q117" s="511"/>
      <c r="R117" s="892" t="s">
        <v>96</v>
      </c>
      <c r="S117" s="55"/>
      <c r="T117" s="55"/>
      <c r="U117" s="55"/>
      <c r="V117" s="55"/>
      <c r="W117" s="277">
        <v>2</v>
      </c>
      <c r="X117" s="55"/>
      <c r="Y117" s="55"/>
      <c r="Z117" s="606"/>
      <c r="AA117" s="585"/>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row>
    <row r="118" spans="1:252" s="1" customFormat="1">
      <c r="A118" s="116"/>
      <c r="B118" s="23" t="str">
        <f>IF(Contents!$B$2=2,"by segment","по сегментам")</f>
        <v>by segment</v>
      </c>
      <c r="C118" s="13"/>
      <c r="D118" s="304"/>
      <c r="E118" s="304"/>
      <c r="F118" s="69"/>
      <c r="G118" s="69"/>
      <c r="H118" s="69"/>
      <c r="I118" s="305"/>
      <c r="J118" s="73"/>
      <c r="K118" s="73"/>
      <c r="L118" s="73"/>
      <c r="M118" s="73"/>
      <c r="N118" s="73"/>
      <c r="O118" s="253"/>
      <c r="P118" s="277"/>
      <c r="Q118" s="511"/>
      <c r="R118" s="297"/>
      <c r="S118" s="56"/>
      <c r="T118" s="56"/>
      <c r="U118" s="56"/>
      <c r="V118" s="56"/>
      <c r="W118" s="56"/>
      <c r="X118" s="56"/>
      <c r="Y118" s="56"/>
      <c r="Z118" s="606"/>
      <c r="AA118" s="585"/>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c r="IQ118" s="14"/>
      <c r="IR118" s="14"/>
    </row>
    <row r="119" spans="1:252" s="1" customFormat="1" ht="27" customHeight="1">
      <c r="A119" s="116"/>
      <c r="B119" s="41" t="str">
        <f>IF(Contents!$B$2=2,"Exploration and production enterprises","Предприятия разведки и добычи")</f>
        <v>Exploration and production enterprises</v>
      </c>
      <c r="C119" s="12" t="str">
        <f>IF(Contents!$B$2=2,"th. tons","тыс. т")</f>
        <v>th. tons</v>
      </c>
      <c r="D119" s="10" t="s">
        <v>185</v>
      </c>
      <c r="E119" s="10" t="s">
        <v>185</v>
      </c>
      <c r="F119" s="10" t="s">
        <v>185</v>
      </c>
      <c r="G119" s="10" t="s">
        <v>185</v>
      </c>
      <c r="H119" s="10" t="s">
        <v>185</v>
      </c>
      <c r="I119" s="10" t="s">
        <v>185</v>
      </c>
      <c r="J119" s="10" t="s">
        <v>185</v>
      </c>
      <c r="K119" s="67">
        <v>63</v>
      </c>
      <c r="L119" s="67">
        <v>41.3</v>
      </c>
      <c r="M119" s="67">
        <v>59.1</v>
      </c>
      <c r="N119" s="68">
        <v>48.6</v>
      </c>
      <c r="O119" s="879"/>
      <c r="P119" s="277"/>
      <c r="Q119" s="511"/>
      <c r="R119" s="71"/>
      <c r="S119" s="71"/>
      <c r="T119" s="71"/>
      <c r="U119" s="71"/>
      <c r="V119" s="71"/>
      <c r="W119" s="277">
        <v>2</v>
      </c>
      <c r="X119" s="297"/>
      <c r="Y119" s="71"/>
      <c r="Z119" s="606"/>
      <c r="AA119" s="585"/>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c r="IQ119" s="14"/>
      <c r="IR119" s="14"/>
    </row>
    <row r="120" spans="1:252">
      <c r="A120" s="116"/>
      <c r="B120" s="41" t="str">
        <f>IF(Contents!$B$2=2,"Refineries","Предприятия переработки")</f>
        <v>Refineries</v>
      </c>
      <c r="C120" s="12" t="str">
        <f>IF(Contents!$B$2=2,"th. tons","тыс. т")</f>
        <v>th. tons</v>
      </c>
      <c r="D120" s="10" t="s">
        <v>185</v>
      </c>
      <c r="E120" s="10" t="s">
        <v>185</v>
      </c>
      <c r="F120" s="10" t="s">
        <v>185</v>
      </c>
      <c r="G120" s="10" t="s">
        <v>185</v>
      </c>
      <c r="H120" s="10" t="s">
        <v>185</v>
      </c>
      <c r="I120" s="10" t="s">
        <v>185</v>
      </c>
      <c r="J120" s="10" t="s">
        <v>185</v>
      </c>
      <c r="K120" s="67">
        <v>1.7</v>
      </c>
      <c r="L120" s="67">
        <v>3.3</v>
      </c>
      <c r="M120" s="67">
        <v>24.2</v>
      </c>
      <c r="N120" s="68">
        <v>25.5</v>
      </c>
      <c r="P120" s="277"/>
      <c r="Q120" s="511"/>
      <c r="R120" s="55"/>
      <c r="S120" s="55"/>
      <c r="T120" s="55"/>
      <c r="U120" s="55"/>
      <c r="V120" s="55"/>
      <c r="W120" s="277">
        <v>2</v>
      </c>
      <c r="X120" s="297"/>
      <c r="Y120" s="55"/>
      <c r="AA120" s="585"/>
    </row>
    <row r="121" spans="1:252" s="1" customFormat="1">
      <c r="A121" s="116"/>
      <c r="B121" s="41" t="str">
        <f>IF(Contents!$B$2=2,"LNG production enterprises","Предприятия производства СПГ")</f>
        <v>LNG production enterprises</v>
      </c>
      <c r="C121" s="12" t="str">
        <f>IF(Contents!$B$2=2,"th. tons","тыс. т")</f>
        <v>th. tons</v>
      </c>
      <c r="D121" s="10" t="s">
        <v>185</v>
      </c>
      <c r="E121" s="10" t="s">
        <v>185</v>
      </c>
      <c r="F121" s="10" t="s">
        <v>185</v>
      </c>
      <c r="G121" s="10" t="s">
        <v>185</v>
      </c>
      <c r="H121" s="10" t="s">
        <v>185</v>
      </c>
      <c r="I121" s="10" t="s">
        <v>185</v>
      </c>
      <c r="J121" s="10" t="s">
        <v>185</v>
      </c>
      <c r="K121" s="67">
        <v>23.6</v>
      </c>
      <c r="L121" s="67">
        <v>23.6</v>
      </c>
      <c r="M121" s="67">
        <v>29.6</v>
      </c>
      <c r="N121" s="68">
        <v>31.5</v>
      </c>
      <c r="O121" s="253"/>
      <c r="P121" s="277"/>
      <c r="Q121" s="511"/>
      <c r="R121" s="55"/>
      <c r="S121" s="55"/>
      <c r="T121" s="55"/>
      <c r="U121" s="55"/>
      <c r="V121" s="55"/>
      <c r="W121" s="277">
        <v>2</v>
      </c>
      <c r="X121" s="297"/>
      <c r="Y121" s="55"/>
      <c r="Z121" s="606"/>
      <c r="AA121" s="585"/>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row>
    <row r="122" spans="1:252" s="1" customFormat="1">
      <c r="A122" s="116"/>
      <c r="B122" s="41" t="str">
        <f>IF(Contents!$B$2=2,"Power service enterprises","Предприятия энергосервиса")</f>
        <v>Power service enterprises</v>
      </c>
      <c r="C122" s="12" t="str">
        <f>IF(Contents!$B$2=2,"th. tons","тыс. т")</f>
        <v>th. tons</v>
      </c>
      <c r="D122" s="10" t="s">
        <v>185</v>
      </c>
      <c r="E122" s="10" t="s">
        <v>185</v>
      </c>
      <c r="F122" s="10" t="s">
        <v>185</v>
      </c>
      <c r="G122" s="10" t="s">
        <v>185</v>
      </c>
      <c r="H122" s="10" t="s">
        <v>185</v>
      </c>
      <c r="I122" s="10" t="s">
        <v>185</v>
      </c>
      <c r="J122" s="10" t="s">
        <v>185</v>
      </c>
      <c r="K122" s="67">
        <v>0.5</v>
      </c>
      <c r="L122" s="67">
        <v>0.4</v>
      </c>
      <c r="M122" s="67">
        <v>0.5</v>
      </c>
      <c r="N122" s="68">
        <v>0.4</v>
      </c>
      <c r="O122" s="253"/>
      <c r="P122" s="277"/>
      <c r="Q122" s="511"/>
      <c r="R122" s="55"/>
      <c r="S122" s="55"/>
      <c r="T122" s="55"/>
      <c r="U122" s="55"/>
      <c r="V122" s="55"/>
      <c r="W122" s="277">
        <v>2</v>
      </c>
      <c r="X122" s="297"/>
      <c r="Y122" s="55"/>
      <c r="Z122" s="606"/>
      <c r="AA122" s="585"/>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c r="IQ122" s="14"/>
      <c r="IR122" s="14"/>
    </row>
    <row r="123" spans="1:252" s="1" customFormat="1">
      <c r="A123" s="116"/>
      <c r="B123" s="41" t="str">
        <f>IF(Contents!$B$2=2,"Sales enterprises","Предприятия сбыта")</f>
        <v>Sales enterprises</v>
      </c>
      <c r="C123" s="12" t="str">
        <f>IF(Contents!$B$2=2,"th. tons","тыс. т")</f>
        <v>th. tons</v>
      </c>
      <c r="D123" s="10" t="s">
        <v>185</v>
      </c>
      <c r="E123" s="10" t="s">
        <v>185</v>
      </c>
      <c r="F123" s="10" t="s">
        <v>185</v>
      </c>
      <c r="G123" s="10" t="s">
        <v>185</v>
      </c>
      <c r="H123" s="10" t="s">
        <v>185</v>
      </c>
      <c r="I123" s="10" t="s">
        <v>185</v>
      </c>
      <c r="J123" s="10" t="s">
        <v>185</v>
      </c>
      <c r="K123" s="67">
        <v>2.1</v>
      </c>
      <c r="L123" s="67">
        <v>2.6</v>
      </c>
      <c r="M123" s="67">
        <v>2.2999999999999998</v>
      </c>
      <c r="N123" s="68">
        <v>2.4</v>
      </c>
      <c r="O123" s="253"/>
      <c r="P123" s="277"/>
      <c r="Q123" s="511"/>
      <c r="R123" s="55"/>
      <c r="S123" s="55"/>
      <c r="T123" s="55"/>
      <c r="U123" s="55"/>
      <c r="V123" s="55"/>
      <c r="W123" s="277">
        <v>2</v>
      </c>
      <c r="X123" s="297"/>
      <c r="Y123" s="55"/>
      <c r="Z123" s="606"/>
      <c r="AA123" s="585"/>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14"/>
      <c r="HE123" s="14"/>
      <c r="HF123" s="14"/>
      <c r="HG123" s="14"/>
      <c r="HH123" s="14"/>
      <c r="HI123" s="14"/>
      <c r="HJ123" s="14"/>
      <c r="HK123" s="14"/>
      <c r="HL123" s="14"/>
      <c r="HM123" s="14"/>
      <c r="HN123" s="14"/>
      <c r="HO123" s="14"/>
      <c r="HP123" s="14"/>
      <c r="HQ123" s="14"/>
      <c r="HR123" s="14"/>
      <c r="HS123" s="14"/>
      <c r="HT123" s="14"/>
      <c r="HU123" s="14"/>
      <c r="HV123" s="14"/>
      <c r="HW123" s="14"/>
      <c r="HX123" s="14"/>
      <c r="HY123" s="14"/>
      <c r="HZ123" s="14"/>
      <c r="IA123" s="14"/>
      <c r="IB123" s="14"/>
      <c r="IC123" s="14"/>
      <c r="ID123" s="14"/>
      <c r="IE123" s="14"/>
      <c r="IF123" s="14"/>
      <c r="IG123" s="14"/>
      <c r="IH123" s="14"/>
      <c r="II123" s="14"/>
      <c r="IJ123" s="14"/>
      <c r="IK123" s="14"/>
      <c r="IL123" s="14"/>
      <c r="IM123" s="14"/>
      <c r="IN123" s="14"/>
      <c r="IO123" s="14"/>
      <c r="IP123" s="14"/>
      <c r="IQ123" s="14"/>
      <c r="IR123" s="14"/>
    </row>
    <row r="124" spans="1:252" s="1" customFormat="1">
      <c r="A124" s="116"/>
      <c r="B124" s="41" t="str">
        <f>IF(Contents!$B$2=2,"Other enterprises","Прочие предприятия")</f>
        <v>Other enterprises</v>
      </c>
      <c r="C124" s="12" t="str">
        <f>IF(Contents!$B$2=2,"th. tons","тыс. т")</f>
        <v>th. tons</v>
      </c>
      <c r="D124" s="10" t="s">
        <v>185</v>
      </c>
      <c r="E124" s="10" t="s">
        <v>185</v>
      </c>
      <c r="F124" s="10" t="s">
        <v>185</v>
      </c>
      <c r="G124" s="10" t="s">
        <v>185</v>
      </c>
      <c r="H124" s="10" t="s">
        <v>185</v>
      </c>
      <c r="I124" s="10" t="s">
        <v>185</v>
      </c>
      <c r="J124" s="10" t="s">
        <v>185</v>
      </c>
      <c r="K124" s="67">
        <v>0.2</v>
      </c>
      <c r="L124" s="67">
        <v>1.1000000000000001</v>
      </c>
      <c r="M124" s="67">
        <v>2</v>
      </c>
      <c r="N124" s="68">
        <v>1.9</v>
      </c>
      <c r="O124" s="253"/>
      <c r="P124" s="277"/>
      <c r="Q124" s="511"/>
      <c r="R124" s="71"/>
      <c r="S124" s="71"/>
      <c r="T124" s="71"/>
      <c r="U124" s="71"/>
      <c r="V124" s="71"/>
      <c r="W124" s="277">
        <v>2</v>
      </c>
      <c r="X124" s="297"/>
      <c r="Y124" s="71"/>
      <c r="Z124" s="606"/>
      <c r="AA124" s="585"/>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c r="II124" s="14"/>
      <c r="IJ124" s="14"/>
      <c r="IK124" s="14"/>
      <c r="IL124" s="14"/>
      <c r="IM124" s="14"/>
      <c r="IN124" s="14"/>
      <c r="IO124" s="14"/>
      <c r="IP124" s="14"/>
      <c r="IQ124" s="14"/>
      <c r="IR124" s="14"/>
    </row>
    <row r="125" spans="1:252" s="1" customFormat="1">
      <c r="A125" s="116"/>
      <c r="B125" s="52" t="str">
        <f>IF(Contents!$B$2=2,"Drilling sludge","Буровой шлам")</f>
        <v>Drilling sludge</v>
      </c>
      <c r="C125" s="12" t="str">
        <f>IF(Contents!$B$2=2,"th. tons","тыс. т")</f>
        <v>th. tons</v>
      </c>
      <c r="D125" s="10" t="s">
        <v>185</v>
      </c>
      <c r="E125" s="10" t="s">
        <v>185</v>
      </c>
      <c r="F125" s="10" t="s">
        <v>185</v>
      </c>
      <c r="G125" s="244" t="s">
        <v>185</v>
      </c>
      <c r="H125" s="244" t="s">
        <v>185</v>
      </c>
      <c r="I125" s="72">
        <v>37.4</v>
      </c>
      <c r="J125" s="72">
        <v>41.4</v>
      </c>
      <c r="K125" s="72">
        <v>74.900000000000006</v>
      </c>
      <c r="L125" s="72">
        <v>55.3</v>
      </c>
      <c r="M125" s="72">
        <v>76.7</v>
      </c>
      <c r="N125" s="68">
        <v>69.7</v>
      </c>
      <c r="O125" s="253"/>
      <c r="P125" s="277" t="str">
        <f>IF(Contents!$B$2=2,"Yes","Да")</f>
        <v>Yes</v>
      </c>
      <c r="Q125" s="511"/>
      <c r="R125" s="56" t="s">
        <v>98</v>
      </c>
      <c r="S125" s="308"/>
      <c r="T125" s="308"/>
      <c r="U125" s="308"/>
      <c r="V125" s="308"/>
      <c r="W125" s="277">
        <v>2</v>
      </c>
      <c r="X125" s="277"/>
      <c r="Y125" s="308"/>
      <c r="Z125" s="606"/>
      <c r="AA125" s="585"/>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c r="IN125" s="14"/>
      <c r="IO125" s="14"/>
      <c r="IP125" s="14"/>
      <c r="IQ125" s="14"/>
      <c r="IR125" s="14"/>
    </row>
    <row r="126" spans="1:252" s="1" customFormat="1">
      <c r="A126" s="116"/>
      <c r="B126" s="52"/>
      <c r="C126" s="165"/>
      <c r="D126" s="293"/>
      <c r="E126" s="293"/>
      <c r="F126" s="293"/>
      <c r="G126" s="293"/>
      <c r="H126" s="293"/>
      <c r="I126" s="293"/>
      <c r="J126" s="293"/>
      <c r="K126" s="660"/>
      <c r="L126" s="660"/>
      <c r="M126" s="660"/>
      <c r="N126" s="660"/>
      <c r="O126" s="253"/>
      <c r="P126" s="926"/>
      <c r="Q126" s="253"/>
      <c r="R126" s="297"/>
      <c r="S126" s="297"/>
      <c r="T126" s="297"/>
      <c r="U126" s="299"/>
      <c r="V126" s="297"/>
      <c r="W126" s="297"/>
      <c r="X126" s="297"/>
      <c r="Y126" s="297"/>
      <c r="Z126" s="617"/>
      <c r="AA126" s="585"/>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c r="IJ126" s="14"/>
      <c r="IK126" s="14"/>
      <c r="IL126" s="14"/>
      <c r="IM126" s="14"/>
      <c r="IN126" s="14"/>
      <c r="IO126" s="14"/>
      <c r="IP126" s="14"/>
      <c r="IQ126" s="14"/>
      <c r="IR126" s="14"/>
    </row>
    <row r="127" spans="1:252" s="1" customFormat="1">
      <c r="A127" s="116"/>
      <c r="B127" s="196" t="str">
        <f>IF(Contents!$B$2=2,"Waste movement","Движение отходов")</f>
        <v>Waste movement</v>
      </c>
      <c r="C127" s="42"/>
      <c r="D127" s="302"/>
      <c r="E127" s="302"/>
      <c r="F127" s="302"/>
      <c r="G127" s="302"/>
      <c r="H127" s="302"/>
      <c r="I127" s="309"/>
      <c r="J127" s="309"/>
      <c r="K127" s="309"/>
      <c r="L127" s="309"/>
      <c r="M127" s="309"/>
      <c r="N127" s="309"/>
      <c r="O127" s="253"/>
      <c r="P127" s="56"/>
      <c r="Q127" s="253"/>
      <c r="R127" s="56"/>
      <c r="S127" s="56"/>
      <c r="T127" s="56" t="s">
        <v>97</v>
      </c>
      <c r="U127" s="56"/>
      <c r="V127" s="56"/>
      <c r="W127" s="56"/>
      <c r="X127" s="56"/>
      <c r="Y127" s="56"/>
      <c r="Z127" s="606"/>
      <c r="AA127" s="585"/>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c r="IQ127" s="14"/>
      <c r="IR127" s="14"/>
    </row>
    <row r="128" spans="1:252" s="1" customFormat="1">
      <c r="A128" s="116"/>
      <c r="B128" s="23" t="str">
        <f>IF(Contents!$B$2=2,"by direction","по направлениям движения")</f>
        <v>by direction</v>
      </c>
      <c r="C128" s="13"/>
      <c r="D128" s="310"/>
      <c r="E128" s="310"/>
      <c r="F128" s="310"/>
      <c r="G128" s="310"/>
      <c r="H128" s="310"/>
      <c r="I128" s="310"/>
      <c r="J128" s="310"/>
      <c r="K128" s="310"/>
      <c r="L128" s="310"/>
      <c r="M128" s="310"/>
      <c r="N128" s="310"/>
      <c r="O128" s="253"/>
      <c r="P128" s="55"/>
      <c r="Q128" s="253"/>
      <c r="R128" s="55"/>
      <c r="S128" s="55"/>
      <c r="T128" s="55"/>
      <c r="U128" s="55"/>
      <c r="V128" s="55"/>
      <c r="W128" s="55"/>
      <c r="X128" s="55"/>
      <c r="Y128" s="55"/>
      <c r="Z128" s="606"/>
      <c r="AA128" s="58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c r="IJ128" s="14"/>
      <c r="IK128" s="14"/>
      <c r="IL128" s="14"/>
      <c r="IM128" s="14"/>
      <c r="IN128" s="14"/>
      <c r="IO128" s="14"/>
      <c r="IP128" s="14"/>
      <c r="IQ128" s="14"/>
      <c r="IR128" s="14"/>
    </row>
    <row r="129" spans="1:252" s="1" customFormat="1">
      <c r="A129" s="116"/>
      <c r="B129" s="311" t="str">
        <f>IF(Contents!$B$2=2,"Waste at the beginning of the year","Наличие отходов на начало года")</f>
        <v>Waste at the beginning of the year</v>
      </c>
      <c r="C129" s="12" t="str">
        <f>IF(Contents!$B$2=2,"tons","т")</f>
        <v>tons</v>
      </c>
      <c r="D129" s="312" t="s">
        <v>185</v>
      </c>
      <c r="E129" s="312" t="s">
        <v>185</v>
      </c>
      <c r="F129" s="312" t="s">
        <v>185</v>
      </c>
      <c r="G129" s="312" t="s">
        <v>185</v>
      </c>
      <c r="H129" s="306" t="s">
        <v>185</v>
      </c>
      <c r="I129" s="306">
        <v>9.6999999999999993</v>
      </c>
      <c r="J129" s="306">
        <v>13200.44</v>
      </c>
      <c r="K129" s="306">
        <v>7905</v>
      </c>
      <c r="L129" s="306">
        <v>2856</v>
      </c>
      <c r="M129" s="306">
        <v>4350</v>
      </c>
      <c r="N129" s="827">
        <v>1665</v>
      </c>
      <c r="O129" s="253"/>
      <c r="P129" s="277" t="str">
        <f>IF(Contents!$B$2=2,"Yes","Да")</f>
        <v>Yes</v>
      </c>
      <c r="Q129" s="253"/>
      <c r="R129" s="55"/>
      <c r="S129" s="55"/>
      <c r="T129" s="55"/>
      <c r="U129" s="55"/>
      <c r="V129" s="55"/>
      <c r="W129" s="277">
        <v>2</v>
      </c>
      <c r="X129" s="297"/>
      <c r="Y129" s="55"/>
      <c r="Z129" s="606"/>
      <c r="AA129" s="58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c r="IJ129" s="14"/>
      <c r="IK129" s="14"/>
      <c r="IL129" s="14"/>
      <c r="IM129" s="14"/>
      <c r="IN129" s="14"/>
      <c r="IO129" s="14"/>
      <c r="IP129" s="14"/>
      <c r="IQ129" s="14"/>
      <c r="IR129" s="14"/>
    </row>
    <row r="130" spans="1:252" s="1" customFormat="1">
      <c r="A130" s="116"/>
      <c r="B130" s="285" t="str">
        <f>IF(Contents!$B$2=2,"Hazardous waste","Опасные отходы")</f>
        <v>Hazardous waste</v>
      </c>
      <c r="C130" s="12" t="str">
        <f>IF(Contents!$B$2=2,"tons","т")</f>
        <v>tons</v>
      </c>
      <c r="D130" s="312" t="s">
        <v>185</v>
      </c>
      <c r="E130" s="312" t="s">
        <v>185</v>
      </c>
      <c r="F130" s="312" t="s">
        <v>185</v>
      </c>
      <c r="G130" s="312" t="s">
        <v>185</v>
      </c>
      <c r="H130" s="306" t="s">
        <v>185</v>
      </c>
      <c r="I130" s="306" t="s">
        <v>185</v>
      </c>
      <c r="J130" s="101">
        <v>0.44</v>
      </c>
      <c r="K130" s="101">
        <v>2</v>
      </c>
      <c r="L130" s="101">
        <v>20</v>
      </c>
      <c r="M130" s="101">
        <v>29</v>
      </c>
      <c r="N130" s="307">
        <v>84</v>
      </c>
      <c r="O130" s="253"/>
      <c r="P130" s="277" t="str">
        <f>IF(Contents!$B$2=2,"Yes","Да")</f>
        <v>Yes</v>
      </c>
      <c r="Q130" s="253"/>
      <c r="R130" s="55"/>
      <c r="S130" s="55"/>
      <c r="T130" s="55"/>
      <c r="U130" s="55"/>
      <c r="V130" s="55"/>
      <c r="W130" s="277">
        <v>2</v>
      </c>
      <c r="X130" s="297"/>
      <c r="Y130" s="55"/>
      <c r="Z130" s="606"/>
      <c r="AA130" s="585"/>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c r="IJ130" s="14"/>
      <c r="IK130" s="14"/>
      <c r="IL130" s="14"/>
      <c r="IM130" s="14"/>
      <c r="IN130" s="14"/>
      <c r="IO130" s="14"/>
      <c r="IP130" s="14"/>
      <c r="IQ130" s="14"/>
      <c r="IR130" s="14"/>
    </row>
    <row r="131" spans="1:252" s="1" customFormat="1" ht="25.5">
      <c r="A131" s="116"/>
      <c r="B131" s="285" t="str">
        <f>IF(Contents!$B$2=2,"Non-hazardous waste","Неопасные отходы")</f>
        <v>Non-hazardous waste</v>
      </c>
      <c r="C131" s="12" t="str">
        <f>IF(Contents!$B$2=2,"tons","т")</f>
        <v>tons</v>
      </c>
      <c r="D131" s="312" t="s">
        <v>185</v>
      </c>
      <c r="E131" s="312" t="s">
        <v>185</v>
      </c>
      <c r="F131" s="312" t="s">
        <v>185</v>
      </c>
      <c r="G131" s="312" t="s">
        <v>185</v>
      </c>
      <c r="H131" s="306" t="s">
        <v>185</v>
      </c>
      <c r="I131" s="306" t="s">
        <v>185</v>
      </c>
      <c r="J131" s="101">
        <v>13200</v>
      </c>
      <c r="K131" s="101">
        <v>7903</v>
      </c>
      <c r="L131" s="101">
        <v>2836</v>
      </c>
      <c r="M131" s="101">
        <v>4321</v>
      </c>
      <c r="N131" s="307">
        <v>1581</v>
      </c>
      <c r="O131" s="253"/>
      <c r="P131" s="277" t="str">
        <f>IF(Contents!$B$2=2,"Yes","Да")</f>
        <v>Yes</v>
      </c>
      <c r="Q131" s="253"/>
      <c r="R131" s="313" t="s">
        <v>99</v>
      </c>
      <c r="S131" s="55"/>
      <c r="T131" s="56" t="s">
        <v>97</v>
      </c>
      <c r="U131" s="273" t="str">
        <f>IF(Contents!$B$2=2,"PBCS 6","СОКБ 6")</f>
        <v>PBCS 6</v>
      </c>
      <c r="V131" s="56"/>
      <c r="W131" s="277">
        <v>2</v>
      </c>
      <c r="X131" s="297"/>
      <c r="Y131" s="56"/>
      <c r="Z131" s="606"/>
      <c r="AA131" s="585"/>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c r="IQ131" s="14"/>
      <c r="IR131" s="14"/>
    </row>
    <row r="132" spans="1:252" s="1" customFormat="1" ht="25.5">
      <c r="A132" s="116"/>
      <c r="B132" s="311" t="str">
        <f>IF(Contents!$B$2=2,"Reused waste","Повторно используемые отходы")</f>
        <v>Reused waste</v>
      </c>
      <c r="C132" s="12" t="str">
        <f>IF(Contents!$B$2=2,"tons","т")</f>
        <v>tons</v>
      </c>
      <c r="D132" s="312" t="s">
        <v>185</v>
      </c>
      <c r="E132" s="312" t="s">
        <v>185</v>
      </c>
      <c r="F132" s="312" t="s">
        <v>185</v>
      </c>
      <c r="G132" s="312" t="s">
        <v>185</v>
      </c>
      <c r="H132" s="306" t="s">
        <v>185</v>
      </c>
      <c r="I132" s="306">
        <v>0</v>
      </c>
      <c r="J132" s="306">
        <v>0</v>
      </c>
      <c r="K132" s="306">
        <v>0</v>
      </c>
      <c r="L132" s="306">
        <v>0</v>
      </c>
      <c r="M132" s="306">
        <v>0</v>
      </c>
      <c r="N132" s="827">
        <v>0</v>
      </c>
      <c r="O132" s="253"/>
      <c r="P132" s="277" t="str">
        <f>IF(Contents!$B$2=2,"Yes","Да")</f>
        <v>Yes</v>
      </c>
      <c r="Q132" s="253"/>
      <c r="R132" s="313" t="s">
        <v>99</v>
      </c>
      <c r="S132" s="55"/>
      <c r="T132" s="56" t="s">
        <v>97</v>
      </c>
      <c r="U132" s="273" t="str">
        <f>IF(Contents!$B$2=2,"PBCS 6","СОКБ 6")</f>
        <v>PBCS 6</v>
      </c>
      <c r="V132" s="56"/>
      <c r="W132" s="277">
        <v>2</v>
      </c>
      <c r="X132" s="297"/>
      <c r="Y132" s="56"/>
      <c r="Z132" s="606"/>
      <c r="AA132" s="585"/>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c r="IQ132" s="14"/>
      <c r="IR132" s="14"/>
    </row>
    <row r="133" spans="1:252" s="1" customFormat="1">
      <c r="A133" s="116"/>
      <c r="B133" s="285" t="str">
        <f>IF(Contents!$B$2=2,"Hazardous waste","Опасные отходы")</f>
        <v>Hazardous waste</v>
      </c>
      <c r="C133" s="12" t="str">
        <f>IF(Contents!$B$2=2,"tons","т")</f>
        <v>tons</v>
      </c>
      <c r="D133" s="312" t="s">
        <v>185</v>
      </c>
      <c r="E133" s="312" t="s">
        <v>185</v>
      </c>
      <c r="F133" s="312" t="s">
        <v>185</v>
      </c>
      <c r="G133" s="312" t="s">
        <v>185</v>
      </c>
      <c r="H133" s="306" t="s">
        <v>185</v>
      </c>
      <c r="I133" s="306">
        <v>0</v>
      </c>
      <c r="J133" s="101">
        <v>0</v>
      </c>
      <c r="K133" s="101">
        <v>0</v>
      </c>
      <c r="L133" s="101">
        <v>0</v>
      </c>
      <c r="M133" s="101">
        <v>0</v>
      </c>
      <c r="N133" s="307">
        <v>0</v>
      </c>
      <c r="O133" s="253"/>
      <c r="P133" s="277" t="str">
        <f>IF(Contents!$B$2=2,"Yes","Да")</f>
        <v>Yes</v>
      </c>
      <c r="Q133" s="253"/>
      <c r="R133" s="55"/>
      <c r="S133" s="55"/>
      <c r="T133" s="55"/>
      <c r="U133" s="55"/>
      <c r="V133" s="55"/>
      <c r="W133" s="277">
        <v>2</v>
      </c>
      <c r="X133" s="297"/>
      <c r="Y133" s="55"/>
      <c r="Z133" s="606"/>
      <c r="AA133" s="585"/>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c r="IQ133" s="14"/>
      <c r="IR133" s="14"/>
    </row>
    <row r="134" spans="1:252" s="1" customFormat="1">
      <c r="A134" s="116"/>
      <c r="B134" s="285" t="str">
        <f>IF(Contents!$B$2=2,"Non-hazardous waste","Неопасные отходы")</f>
        <v>Non-hazardous waste</v>
      </c>
      <c r="C134" s="12" t="str">
        <f>IF(Contents!$B$2=2,"tons","т")</f>
        <v>tons</v>
      </c>
      <c r="D134" s="312" t="s">
        <v>185</v>
      </c>
      <c r="E134" s="312" t="s">
        <v>185</v>
      </c>
      <c r="F134" s="312" t="s">
        <v>185</v>
      </c>
      <c r="G134" s="312" t="s">
        <v>185</v>
      </c>
      <c r="H134" s="306" t="s">
        <v>185</v>
      </c>
      <c r="I134" s="306">
        <v>0</v>
      </c>
      <c r="J134" s="101">
        <v>0</v>
      </c>
      <c r="K134" s="101">
        <v>0</v>
      </c>
      <c r="L134" s="101">
        <v>0</v>
      </c>
      <c r="M134" s="101">
        <v>0</v>
      </c>
      <c r="N134" s="307">
        <v>0</v>
      </c>
      <c r="O134" s="253"/>
      <c r="P134" s="277" t="str">
        <f>IF(Contents!$B$2=2,"Yes","Да")</f>
        <v>Yes</v>
      </c>
      <c r="Q134" s="253"/>
      <c r="R134" s="55"/>
      <c r="S134" s="55"/>
      <c r="T134" s="55"/>
      <c r="U134" s="55"/>
      <c r="V134" s="55"/>
      <c r="W134" s="277">
        <v>2</v>
      </c>
      <c r="X134" s="297"/>
      <c r="Y134" s="55"/>
      <c r="Z134" s="606"/>
      <c r="AA134" s="585"/>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row>
    <row r="135" spans="1:252" s="1" customFormat="1">
      <c r="A135" s="116"/>
      <c r="B135" s="311" t="str">
        <f>IF(Contents!$B$2=2,"Waste processed at the Company's premises","Отходы, направленные на утилизацию на территории Компании")</f>
        <v>Waste processed at the Company's premises</v>
      </c>
      <c r="C135" s="12" t="str">
        <f>IF(Contents!$B$2=2,"tons","т")</f>
        <v>tons</v>
      </c>
      <c r="D135" s="312" t="s">
        <v>185</v>
      </c>
      <c r="E135" s="312" t="s">
        <v>185</v>
      </c>
      <c r="F135" s="312" t="s">
        <v>185</v>
      </c>
      <c r="G135" s="312" t="s">
        <v>185</v>
      </c>
      <c r="H135" s="306" t="s">
        <v>185</v>
      </c>
      <c r="I135" s="306">
        <v>6160</v>
      </c>
      <c r="J135" s="306">
        <v>5272</v>
      </c>
      <c r="K135" s="306">
        <v>10656</v>
      </c>
      <c r="L135" s="306">
        <v>8455</v>
      </c>
      <c r="M135" s="306">
        <v>12644</v>
      </c>
      <c r="N135" s="827">
        <v>11146</v>
      </c>
      <c r="O135" s="253"/>
      <c r="P135" s="277" t="str">
        <f>IF(Contents!$B$2=2,"Yes","Да")</f>
        <v>Yes</v>
      </c>
      <c r="Q135" s="253"/>
      <c r="R135" s="55"/>
      <c r="S135" s="55"/>
      <c r="T135" s="55"/>
      <c r="U135" s="55"/>
      <c r="V135" s="55"/>
      <c r="W135" s="277">
        <v>2</v>
      </c>
      <c r="X135" s="297"/>
      <c r="Y135" s="55"/>
      <c r="Z135" s="606"/>
      <c r="AA135" s="585"/>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row>
    <row r="136" spans="1:252">
      <c r="A136" s="116"/>
      <c r="B136" s="285" t="str">
        <f>IF(Contents!$B$2=2,"Hazardous waste","Опасные отходы")</f>
        <v>Hazardous waste</v>
      </c>
      <c r="C136" s="12" t="str">
        <f>IF(Contents!$B$2=2,"tons","т")</f>
        <v>tons</v>
      </c>
      <c r="D136" s="312" t="s">
        <v>185</v>
      </c>
      <c r="E136" s="312" t="s">
        <v>185</v>
      </c>
      <c r="F136" s="312" t="s">
        <v>185</v>
      </c>
      <c r="G136" s="312" t="s">
        <v>185</v>
      </c>
      <c r="H136" s="306" t="s">
        <v>185</v>
      </c>
      <c r="I136" s="306">
        <v>0</v>
      </c>
      <c r="J136" s="101">
        <v>0</v>
      </c>
      <c r="K136" s="101">
        <v>0</v>
      </c>
      <c r="L136" s="101">
        <v>0</v>
      </c>
      <c r="M136" s="101">
        <v>0</v>
      </c>
      <c r="N136" s="307">
        <v>0</v>
      </c>
      <c r="P136" s="277" t="str">
        <f>IF(Contents!$B$2=2,"Yes","Да")</f>
        <v>Yes</v>
      </c>
      <c r="R136" s="55"/>
      <c r="S136" s="55"/>
      <c r="T136" s="55"/>
      <c r="U136" s="55"/>
      <c r="V136" s="55"/>
      <c r="W136" s="277">
        <v>2</v>
      </c>
      <c r="X136" s="297"/>
      <c r="Y136" s="55"/>
      <c r="AA136" s="585"/>
    </row>
    <row r="137" spans="1:252">
      <c r="A137" s="116"/>
      <c r="B137" s="285" t="str">
        <f>IF(Contents!$B$2=2,"Non-hazardous waste","Неопасные отходы")</f>
        <v>Non-hazardous waste</v>
      </c>
      <c r="C137" s="12" t="str">
        <f>IF(Contents!$B$2=2,"tons","т")</f>
        <v>tons</v>
      </c>
      <c r="D137" s="312" t="s">
        <v>185</v>
      </c>
      <c r="E137" s="312" t="s">
        <v>185</v>
      </c>
      <c r="F137" s="312" t="s">
        <v>185</v>
      </c>
      <c r="G137" s="312" t="s">
        <v>185</v>
      </c>
      <c r="H137" s="306" t="s">
        <v>185</v>
      </c>
      <c r="I137" s="306">
        <v>6160</v>
      </c>
      <c r="J137" s="101">
        <v>5272</v>
      </c>
      <c r="K137" s="101">
        <v>10656</v>
      </c>
      <c r="L137" s="101">
        <v>8455</v>
      </c>
      <c r="M137" s="101">
        <v>12644</v>
      </c>
      <c r="N137" s="307">
        <v>11146</v>
      </c>
      <c r="P137" s="277" t="str">
        <f>IF(Contents!$B$2=2,"Yes","Да")</f>
        <v>Yes</v>
      </c>
      <c r="R137" s="55"/>
      <c r="S137" s="55"/>
      <c r="T137" s="55"/>
      <c r="U137" s="55"/>
      <c r="V137" s="55"/>
      <c r="W137" s="277">
        <v>2</v>
      </c>
      <c r="X137" s="297"/>
      <c r="Y137" s="55"/>
      <c r="AA137" s="585"/>
    </row>
    <row r="138" spans="1:252" ht="25.5">
      <c r="A138" s="116"/>
      <c r="B138" s="311" t="str">
        <f>IF(Contents!$B$2=2,"Waste utilized by third parties","Отходы, направленные на утилизацию в сторонние организации")</f>
        <v>Waste utilized by third parties</v>
      </c>
      <c r="C138" s="12" t="str">
        <f>IF(Contents!$B$2=2,"tons","т")</f>
        <v>tons</v>
      </c>
      <c r="D138" s="312" t="s">
        <v>185</v>
      </c>
      <c r="E138" s="312" t="s">
        <v>185</v>
      </c>
      <c r="F138" s="312" t="s">
        <v>185</v>
      </c>
      <c r="G138" s="312" t="s">
        <v>185</v>
      </c>
      <c r="H138" s="306" t="s">
        <v>185</v>
      </c>
      <c r="I138" s="306">
        <v>16437</v>
      </c>
      <c r="J138" s="306">
        <v>43766</v>
      </c>
      <c r="K138" s="306">
        <v>75195</v>
      </c>
      <c r="L138" s="306">
        <v>50219</v>
      </c>
      <c r="M138" s="306">
        <v>74071</v>
      </c>
      <c r="N138" s="827">
        <v>65120</v>
      </c>
      <c r="P138" s="277" t="str">
        <f>IF(Contents!$B$2=2,"Yes","Да")</f>
        <v>Yes</v>
      </c>
      <c r="R138" s="313" t="s">
        <v>99</v>
      </c>
      <c r="S138" s="55"/>
      <c r="T138" s="56" t="s">
        <v>97</v>
      </c>
      <c r="U138" s="273" t="str">
        <f>IF(Contents!$B$2=2,"PBCS 6","СОКБ 6")</f>
        <v>PBCS 6</v>
      </c>
      <c r="V138" s="56"/>
      <c r="W138" s="277">
        <v>2</v>
      </c>
      <c r="X138" s="297"/>
      <c r="Y138" s="56"/>
      <c r="AA138" s="585"/>
    </row>
    <row r="139" spans="1:252" s="1" customFormat="1">
      <c r="A139" s="116"/>
      <c r="B139" s="285" t="str">
        <f>IF(Contents!$B$2=2,"Hazardous waste","Опасные отходы")</f>
        <v>Hazardous waste</v>
      </c>
      <c r="C139" s="12" t="str">
        <f>IF(Contents!$B$2=2,"tons","т")</f>
        <v>tons</v>
      </c>
      <c r="D139" s="312" t="s">
        <v>185</v>
      </c>
      <c r="E139" s="312" t="s">
        <v>185</v>
      </c>
      <c r="F139" s="312" t="s">
        <v>185</v>
      </c>
      <c r="G139" s="312" t="s">
        <v>185</v>
      </c>
      <c r="H139" s="306" t="s">
        <v>185</v>
      </c>
      <c r="I139" s="306">
        <v>27</v>
      </c>
      <c r="J139" s="101">
        <v>36</v>
      </c>
      <c r="K139" s="101">
        <v>17</v>
      </c>
      <c r="L139" s="101">
        <v>40</v>
      </c>
      <c r="M139" s="101">
        <v>92</v>
      </c>
      <c r="N139" s="307">
        <v>100</v>
      </c>
      <c r="O139" s="253"/>
      <c r="P139" s="277" t="str">
        <f>IF(Contents!$B$2=2,"Yes","Да")</f>
        <v>Yes</v>
      </c>
      <c r="Q139" s="253"/>
      <c r="R139" s="55"/>
      <c r="S139" s="55"/>
      <c r="T139" s="55"/>
      <c r="U139" s="55"/>
      <c r="V139" s="55"/>
      <c r="W139" s="277">
        <v>2</v>
      </c>
      <c r="X139" s="297"/>
      <c r="Y139" s="55"/>
      <c r="Z139" s="606"/>
      <c r="AA139" s="585"/>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row>
    <row r="140" spans="1:252" s="1" customFormat="1">
      <c r="A140" s="116"/>
      <c r="B140" s="285" t="str">
        <f>IF(Contents!$B$2=2,"Non-hazardous waste","Неопасные отходы")</f>
        <v>Non-hazardous waste</v>
      </c>
      <c r="C140" s="12" t="str">
        <f>IF(Contents!$B$2=2,"tons","т")</f>
        <v>tons</v>
      </c>
      <c r="D140" s="312" t="s">
        <v>185</v>
      </c>
      <c r="E140" s="312" t="s">
        <v>185</v>
      </c>
      <c r="F140" s="312" t="s">
        <v>185</v>
      </c>
      <c r="G140" s="312" t="s">
        <v>185</v>
      </c>
      <c r="H140" s="306" t="s">
        <v>185</v>
      </c>
      <c r="I140" s="306">
        <v>16410</v>
      </c>
      <c r="J140" s="101">
        <v>43730</v>
      </c>
      <c r="K140" s="101">
        <v>75178</v>
      </c>
      <c r="L140" s="101">
        <v>50179</v>
      </c>
      <c r="M140" s="101">
        <v>73979</v>
      </c>
      <c r="N140" s="307">
        <v>65020</v>
      </c>
      <c r="O140" s="253"/>
      <c r="P140" s="277" t="str">
        <f>IF(Contents!$B$2=2,"Yes","Да")</f>
        <v>Yes</v>
      </c>
      <c r="Q140" s="253"/>
      <c r="R140" s="55"/>
      <c r="S140" s="55"/>
      <c r="T140" s="55"/>
      <c r="U140" s="55"/>
      <c r="V140" s="55"/>
      <c r="W140" s="277">
        <v>2</v>
      </c>
      <c r="X140" s="297"/>
      <c r="Y140" s="55"/>
      <c r="Z140" s="606"/>
      <c r="AA140" s="585"/>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row>
    <row r="141" spans="1:252" s="1" customFormat="1" ht="25.5">
      <c r="A141" s="116"/>
      <c r="B141" s="311" t="str">
        <f>IF(Contents!$B$2=2,"Waste neutralized by the Company","Отходы, направленные на обезвреживание на территории Компании")</f>
        <v>Waste neutralized by the Company</v>
      </c>
      <c r="C141" s="12" t="str">
        <f>IF(Contents!$B$2=2,"tons","т")</f>
        <v>tons</v>
      </c>
      <c r="D141" s="312" t="s">
        <v>185</v>
      </c>
      <c r="E141" s="312" t="s">
        <v>185</v>
      </c>
      <c r="F141" s="312" t="s">
        <v>185</v>
      </c>
      <c r="G141" s="312" t="s">
        <v>185</v>
      </c>
      <c r="H141" s="306" t="s">
        <v>185</v>
      </c>
      <c r="I141" s="306">
        <v>5926</v>
      </c>
      <c r="J141" s="306">
        <v>4567.0209999999997</v>
      </c>
      <c r="K141" s="306">
        <v>4882</v>
      </c>
      <c r="L141" s="306">
        <v>3926</v>
      </c>
      <c r="M141" s="306">
        <v>24161</v>
      </c>
      <c r="N141" s="827">
        <v>22394</v>
      </c>
      <c r="O141" s="253"/>
      <c r="P141" s="277" t="str">
        <f>IF(Contents!$B$2=2,"Yes","Да")</f>
        <v>Yes</v>
      </c>
      <c r="Q141" s="253"/>
      <c r="R141" s="313" t="s">
        <v>99</v>
      </c>
      <c r="S141" s="55"/>
      <c r="T141" s="56" t="s">
        <v>97</v>
      </c>
      <c r="U141" s="273" t="str">
        <f>IF(Contents!$B$2=2,"PBCS 6","СОКБ 6")</f>
        <v>PBCS 6</v>
      </c>
      <c r="V141" s="56"/>
      <c r="W141" s="277">
        <v>2</v>
      </c>
      <c r="X141" s="297"/>
      <c r="Y141" s="56"/>
      <c r="Z141" s="606"/>
      <c r="AA141" s="585"/>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row>
    <row r="142" spans="1:252" s="1" customFormat="1">
      <c r="A142" s="116"/>
      <c r="B142" s="285" t="str">
        <f>IF(Contents!$B$2=2,"Hazardous waste","Опасные отходы")</f>
        <v>Hazardous waste</v>
      </c>
      <c r="C142" s="12" t="str">
        <f>IF(Contents!$B$2=2,"tons","т")</f>
        <v>tons</v>
      </c>
      <c r="D142" s="312" t="s">
        <v>185</v>
      </c>
      <c r="E142" s="312" t="s">
        <v>185</v>
      </c>
      <c r="F142" s="312" t="s">
        <v>185</v>
      </c>
      <c r="G142" s="312" t="s">
        <v>185</v>
      </c>
      <c r="H142" s="306" t="s">
        <v>185</v>
      </c>
      <c r="I142" s="306">
        <v>0</v>
      </c>
      <c r="J142" s="101">
        <v>2.0999999999999998E-2</v>
      </c>
      <c r="K142" s="101">
        <v>0</v>
      </c>
      <c r="L142" s="101">
        <v>0</v>
      </c>
      <c r="M142" s="101">
        <v>0</v>
      </c>
      <c r="N142" s="307">
        <v>0</v>
      </c>
      <c r="O142" s="253"/>
      <c r="P142" s="277" t="str">
        <f>IF(Contents!$B$2=2,"Yes","Да")</f>
        <v>Yes</v>
      </c>
      <c r="Q142" s="253"/>
      <c r="R142" s="55"/>
      <c r="S142" s="55"/>
      <c r="T142" s="55"/>
      <c r="U142" s="55"/>
      <c r="V142" s="55"/>
      <c r="W142" s="277">
        <v>2</v>
      </c>
      <c r="X142" s="297"/>
      <c r="Y142" s="55"/>
      <c r="Z142" s="606"/>
      <c r="AA142" s="585"/>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row>
    <row r="143" spans="1:252" s="1" customFormat="1">
      <c r="A143" s="116"/>
      <c r="B143" s="285" t="str">
        <f>IF(Contents!$B$2=2,"Non-hazardous waste","Неопасные отходы")</f>
        <v>Non-hazardous waste</v>
      </c>
      <c r="C143" s="12" t="str">
        <f>IF(Contents!$B$2=2,"tons","т")</f>
        <v>tons</v>
      </c>
      <c r="D143" s="312" t="s">
        <v>185</v>
      </c>
      <c r="E143" s="312" t="s">
        <v>185</v>
      </c>
      <c r="F143" s="312" t="s">
        <v>185</v>
      </c>
      <c r="G143" s="312" t="s">
        <v>185</v>
      </c>
      <c r="H143" s="306" t="s">
        <v>185</v>
      </c>
      <c r="I143" s="306">
        <v>5926</v>
      </c>
      <c r="J143" s="101">
        <v>4567</v>
      </c>
      <c r="K143" s="101">
        <v>4882</v>
      </c>
      <c r="L143" s="101">
        <v>3926</v>
      </c>
      <c r="M143" s="101">
        <v>24161</v>
      </c>
      <c r="N143" s="307">
        <v>22394</v>
      </c>
      <c r="O143" s="253"/>
      <c r="P143" s="277" t="str">
        <f>IF(Contents!$B$2=2,"Yes","Да")</f>
        <v>Yes</v>
      </c>
      <c r="Q143" s="253"/>
      <c r="R143" s="55"/>
      <c r="S143" s="55"/>
      <c r="T143" s="55"/>
      <c r="U143" s="55"/>
      <c r="V143" s="55"/>
      <c r="W143" s="277">
        <v>2</v>
      </c>
      <c r="X143" s="297"/>
      <c r="Y143" s="55"/>
      <c r="Z143" s="606"/>
      <c r="AA143" s="585"/>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row>
    <row r="144" spans="1:252" s="1" customFormat="1" ht="25.5">
      <c r="A144" s="116"/>
      <c r="B144" s="311" t="str">
        <f>IF(Contents!$B$2=2,"Waste neutralized by third parties","Отходы, направленные на обезвреживание в сторонние организации")</f>
        <v>Waste neutralized by third parties</v>
      </c>
      <c r="C144" s="12" t="str">
        <f>IF(Contents!$B$2=2,"tons","т")</f>
        <v>tons</v>
      </c>
      <c r="D144" s="312" t="s">
        <v>185</v>
      </c>
      <c r="E144" s="312" t="s">
        <v>185</v>
      </c>
      <c r="F144" s="312" t="s">
        <v>185</v>
      </c>
      <c r="G144" s="312" t="s">
        <v>185</v>
      </c>
      <c r="H144" s="306" t="s">
        <v>185</v>
      </c>
      <c r="I144" s="306">
        <v>10597</v>
      </c>
      <c r="J144" s="306">
        <v>1960</v>
      </c>
      <c r="K144" s="306">
        <v>2951</v>
      </c>
      <c r="L144" s="306">
        <v>4504</v>
      </c>
      <c r="M144" s="306">
        <v>4956</v>
      </c>
      <c r="N144" s="827">
        <v>4475</v>
      </c>
      <c r="O144" s="253"/>
      <c r="P144" s="277" t="str">
        <f>IF(Contents!$B$2=2,"Yes","Да")</f>
        <v>Yes</v>
      </c>
      <c r="Q144" s="253"/>
      <c r="R144" s="313" t="s">
        <v>99</v>
      </c>
      <c r="S144" s="55"/>
      <c r="T144" s="56" t="s">
        <v>97</v>
      </c>
      <c r="U144" s="273" t="str">
        <f>IF(Contents!$B$2=2,"PBCS 6","СОКБ 6")</f>
        <v>PBCS 6</v>
      </c>
      <c r="V144" s="56"/>
      <c r="W144" s="277">
        <v>2</v>
      </c>
      <c r="X144" s="297"/>
      <c r="Y144" s="56"/>
      <c r="Z144" s="606"/>
      <c r="AA144" s="585"/>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row>
    <row r="145" spans="1:252" s="1" customFormat="1">
      <c r="A145" s="116"/>
      <c r="B145" s="285" t="str">
        <f>IF(Contents!$B$2=2,"Hazardous waste","Опасные отходы")</f>
        <v>Hazardous waste</v>
      </c>
      <c r="C145" s="12" t="str">
        <f>IF(Contents!$B$2=2,"tons","т")</f>
        <v>tons</v>
      </c>
      <c r="D145" s="312" t="s">
        <v>185</v>
      </c>
      <c r="E145" s="312" t="s">
        <v>185</v>
      </c>
      <c r="F145" s="312" t="s">
        <v>185</v>
      </c>
      <c r="G145" s="312" t="s">
        <v>185</v>
      </c>
      <c r="H145" s="306" t="s">
        <v>185</v>
      </c>
      <c r="I145" s="306">
        <v>3</v>
      </c>
      <c r="J145" s="101">
        <v>2</v>
      </c>
      <c r="K145" s="101">
        <v>4</v>
      </c>
      <c r="L145" s="101">
        <v>9</v>
      </c>
      <c r="M145" s="101">
        <v>7</v>
      </c>
      <c r="N145" s="307">
        <v>11</v>
      </c>
      <c r="O145" s="253"/>
      <c r="P145" s="277" t="str">
        <f>IF(Contents!$B$2=2,"Yes","Да")</f>
        <v>Yes</v>
      </c>
      <c r="Q145" s="253"/>
      <c r="R145" s="55"/>
      <c r="S145" s="55"/>
      <c r="T145" s="55"/>
      <c r="U145" s="55"/>
      <c r="V145" s="55"/>
      <c r="W145" s="277">
        <v>2</v>
      </c>
      <c r="X145" s="297"/>
      <c r="Y145" s="55"/>
      <c r="Z145" s="606"/>
      <c r="AA145" s="585"/>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row>
    <row r="146" spans="1:252" s="1" customFormat="1">
      <c r="A146" s="116"/>
      <c r="B146" s="285" t="str">
        <f>IF(Contents!$B$2=2,"Non-hazardous waste","Неопасные отходы")</f>
        <v>Non-hazardous waste</v>
      </c>
      <c r="C146" s="12" t="str">
        <f>IF(Contents!$B$2=2,"tons","т")</f>
        <v>tons</v>
      </c>
      <c r="D146" s="312" t="s">
        <v>185</v>
      </c>
      <c r="E146" s="312" t="s">
        <v>185</v>
      </c>
      <c r="F146" s="312" t="s">
        <v>185</v>
      </c>
      <c r="G146" s="312" t="s">
        <v>185</v>
      </c>
      <c r="H146" s="306" t="s">
        <v>185</v>
      </c>
      <c r="I146" s="306">
        <v>10594</v>
      </c>
      <c r="J146" s="101">
        <v>1958</v>
      </c>
      <c r="K146" s="101">
        <v>2947</v>
      </c>
      <c r="L146" s="101">
        <v>4495</v>
      </c>
      <c r="M146" s="101">
        <v>4949</v>
      </c>
      <c r="N146" s="307">
        <v>4464</v>
      </c>
      <c r="O146" s="253"/>
      <c r="P146" s="277" t="str">
        <f>IF(Contents!$B$2=2,"Yes","Да")</f>
        <v>Yes</v>
      </c>
      <c r="Q146" s="253"/>
      <c r="R146" s="55"/>
      <c r="S146" s="55"/>
      <c r="T146" s="55"/>
      <c r="U146" s="55"/>
      <c r="V146" s="55"/>
      <c r="W146" s="277">
        <v>2</v>
      </c>
      <c r="X146" s="297"/>
      <c r="Y146" s="55"/>
      <c r="Z146" s="606"/>
      <c r="AA146" s="585"/>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c r="IL146" s="14"/>
      <c r="IM146" s="14"/>
      <c r="IN146" s="14"/>
      <c r="IO146" s="14"/>
      <c r="IP146" s="14"/>
      <c r="IQ146" s="14"/>
      <c r="IR146" s="14"/>
    </row>
    <row r="147" spans="1:252" s="1" customFormat="1" ht="25.5">
      <c r="A147" s="116"/>
      <c r="B147" s="311" t="str">
        <f>IF(Contents!$B$2=2,"Waste disposed by the Company","Отходы, направленные на захоронение на территории Компании")</f>
        <v>Waste disposed by the Company</v>
      </c>
      <c r="C147" s="12" t="str">
        <f>IF(Contents!$B$2=2,"tons","т")</f>
        <v>tons</v>
      </c>
      <c r="D147" s="312" t="s">
        <v>185</v>
      </c>
      <c r="E147" s="312" t="s">
        <v>185</v>
      </c>
      <c r="F147" s="312" t="s">
        <v>185</v>
      </c>
      <c r="G147" s="312" t="s">
        <v>185</v>
      </c>
      <c r="H147" s="306" t="s">
        <v>185</v>
      </c>
      <c r="I147" s="306">
        <v>2275</v>
      </c>
      <c r="J147" s="306">
        <v>1178.021</v>
      </c>
      <c r="K147" s="306">
        <v>628.02099999999996</v>
      </c>
      <c r="L147" s="306">
        <v>825.02099999999996</v>
      </c>
      <c r="M147" s="306">
        <v>277</v>
      </c>
      <c r="N147" s="827">
        <v>97</v>
      </c>
      <c r="O147" s="253"/>
      <c r="P147" s="277" t="str">
        <f>IF(Contents!$B$2=2,"Yes","Да")</f>
        <v>Yes</v>
      </c>
      <c r="Q147" s="253"/>
      <c r="R147" s="313" t="s">
        <v>100</v>
      </c>
      <c r="S147" s="55"/>
      <c r="T147" s="56" t="s">
        <v>97</v>
      </c>
      <c r="U147" s="273" t="str">
        <f>IF(Contents!$B$2=2,"PBCS 6","СОКБ 6")</f>
        <v>PBCS 6</v>
      </c>
      <c r="V147" s="56"/>
      <c r="W147" s="277">
        <v>2</v>
      </c>
      <c r="X147" s="297"/>
      <c r="Y147" s="56"/>
      <c r="Z147" s="606"/>
      <c r="AA147" s="585"/>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c r="IJ147" s="14"/>
      <c r="IK147" s="14"/>
      <c r="IL147" s="14"/>
      <c r="IM147" s="14"/>
      <c r="IN147" s="14"/>
      <c r="IO147" s="14"/>
      <c r="IP147" s="14"/>
      <c r="IQ147" s="14"/>
      <c r="IR147" s="14"/>
    </row>
    <row r="148" spans="1:252" s="1" customFormat="1">
      <c r="A148" s="116"/>
      <c r="B148" s="285" t="str">
        <f>IF(Contents!$B$2=2,"Hazardous waste","Опасные отходы")</f>
        <v>Hazardous waste</v>
      </c>
      <c r="C148" s="12" t="str">
        <f>IF(Contents!$B$2=2,"tons","т")</f>
        <v>tons</v>
      </c>
      <c r="D148" s="312" t="s">
        <v>185</v>
      </c>
      <c r="E148" s="312" t="s">
        <v>185</v>
      </c>
      <c r="F148" s="312" t="s">
        <v>185</v>
      </c>
      <c r="G148" s="312" t="s">
        <v>185</v>
      </c>
      <c r="H148" s="306" t="s">
        <v>185</v>
      </c>
      <c r="I148" s="306">
        <v>0</v>
      </c>
      <c r="J148" s="101">
        <v>2.0999999999999998E-2</v>
      </c>
      <c r="K148" s="101">
        <v>2.1000000000000001E-2</v>
      </c>
      <c r="L148" s="101">
        <v>2.1000000000000001E-2</v>
      </c>
      <c r="M148" s="101">
        <v>0</v>
      </c>
      <c r="N148" s="307">
        <v>0</v>
      </c>
      <c r="O148" s="253"/>
      <c r="P148" s="277" t="str">
        <f>IF(Contents!$B$2=2,"Yes","Да")</f>
        <v>Yes</v>
      </c>
      <c r="Q148" s="253"/>
      <c r="R148" s="55"/>
      <c r="S148" s="55"/>
      <c r="T148" s="55"/>
      <c r="U148" s="55"/>
      <c r="V148" s="55"/>
      <c r="W148" s="277">
        <v>2</v>
      </c>
      <c r="X148" s="297"/>
      <c r="Y148" s="55"/>
      <c r="Z148" s="606"/>
      <c r="AA148" s="585"/>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c r="IJ148" s="14"/>
      <c r="IK148" s="14"/>
      <c r="IL148" s="14"/>
      <c r="IM148" s="14"/>
      <c r="IN148" s="14"/>
      <c r="IO148" s="14"/>
      <c r="IP148" s="14"/>
      <c r="IQ148" s="14"/>
      <c r="IR148" s="14"/>
    </row>
    <row r="149" spans="1:252" s="1" customFormat="1">
      <c r="A149" s="116"/>
      <c r="B149" s="285" t="str">
        <f>IF(Contents!$B$2=2,"Non-hazardous waste","Неопасные отходы")</f>
        <v>Non-hazardous waste</v>
      </c>
      <c r="C149" s="12" t="str">
        <f>IF(Contents!$B$2=2,"tons","т")</f>
        <v>tons</v>
      </c>
      <c r="D149" s="312" t="s">
        <v>185</v>
      </c>
      <c r="E149" s="312" t="s">
        <v>185</v>
      </c>
      <c r="F149" s="312" t="s">
        <v>185</v>
      </c>
      <c r="G149" s="312" t="s">
        <v>185</v>
      </c>
      <c r="H149" s="306" t="s">
        <v>185</v>
      </c>
      <c r="I149" s="306">
        <v>2275</v>
      </c>
      <c r="J149" s="101">
        <v>1178</v>
      </c>
      <c r="K149" s="101">
        <v>628</v>
      </c>
      <c r="L149" s="101">
        <v>825</v>
      </c>
      <c r="M149" s="101">
        <v>277</v>
      </c>
      <c r="N149" s="307">
        <v>97</v>
      </c>
      <c r="O149" s="253"/>
      <c r="P149" s="277" t="str">
        <f>IF(Contents!$B$2=2,"Yes","Да")</f>
        <v>Yes</v>
      </c>
      <c r="Q149" s="253"/>
      <c r="R149" s="55"/>
      <c r="S149" s="55"/>
      <c r="T149" s="55"/>
      <c r="U149" s="55"/>
      <c r="V149" s="55"/>
      <c r="W149" s="277">
        <v>2</v>
      </c>
      <c r="X149" s="297"/>
      <c r="Y149" s="55"/>
      <c r="Z149" s="606"/>
      <c r="AA149" s="585"/>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c r="IJ149" s="14"/>
      <c r="IK149" s="14"/>
      <c r="IL149" s="14"/>
      <c r="IM149" s="14"/>
      <c r="IN149" s="14"/>
      <c r="IO149" s="14"/>
      <c r="IP149" s="14"/>
      <c r="IQ149" s="14"/>
      <c r="IR149" s="14"/>
    </row>
    <row r="150" spans="1:252" ht="25.5">
      <c r="A150" s="116"/>
      <c r="B150" s="311" t="str">
        <f>IF(Contents!$B$2=2,"Waste disposed by third parties","Отходы, направленные на захоронение в сторонние организации")</f>
        <v>Waste disposed by third parties</v>
      </c>
      <c r="C150" s="12" t="str">
        <f>IF(Contents!$B$2=2,"tons","т")</f>
        <v>tons</v>
      </c>
      <c r="D150" s="312" t="s">
        <v>185</v>
      </c>
      <c r="E150" s="312" t="s">
        <v>185</v>
      </c>
      <c r="F150" s="312" t="s">
        <v>185</v>
      </c>
      <c r="G150" s="312" t="s">
        <v>185</v>
      </c>
      <c r="H150" s="306" t="s">
        <v>185</v>
      </c>
      <c r="I150" s="306">
        <v>1426</v>
      </c>
      <c r="J150" s="306">
        <v>750</v>
      </c>
      <c r="K150" s="306">
        <v>488</v>
      </c>
      <c r="L150" s="306">
        <v>858</v>
      </c>
      <c r="M150" s="306">
        <v>1755</v>
      </c>
      <c r="N150" s="827">
        <v>1200</v>
      </c>
      <c r="P150" s="277" t="str">
        <f>IF(Contents!$B$2=2,"Yes","Да")</f>
        <v>Yes</v>
      </c>
      <c r="R150" s="313" t="s">
        <v>100</v>
      </c>
      <c r="S150" s="55"/>
      <c r="T150" s="56" t="s">
        <v>97</v>
      </c>
      <c r="U150" s="273" t="str">
        <f>IF(Contents!$B$2=2,"PBCS 6","СОКБ 6")</f>
        <v>PBCS 6</v>
      </c>
      <c r="V150" s="56"/>
      <c r="W150" s="277">
        <v>2</v>
      </c>
      <c r="X150" s="297"/>
      <c r="Y150" s="56"/>
      <c r="AA150" s="585"/>
    </row>
    <row r="151" spans="1:252">
      <c r="A151" s="116"/>
      <c r="B151" s="285" t="str">
        <f>IF(Contents!$B$2=2,"Hazardous waste","Опасные отходы")</f>
        <v>Hazardous waste</v>
      </c>
      <c r="C151" s="12" t="str">
        <f>IF(Contents!$B$2=2,"tons","т")</f>
        <v>tons</v>
      </c>
      <c r="D151" s="312" t="s">
        <v>185</v>
      </c>
      <c r="E151" s="312" t="s">
        <v>185</v>
      </c>
      <c r="F151" s="312" t="s">
        <v>185</v>
      </c>
      <c r="G151" s="312" t="s">
        <v>185</v>
      </c>
      <c r="H151" s="306" t="s">
        <v>185</v>
      </c>
      <c r="I151" s="306">
        <v>0</v>
      </c>
      <c r="J151" s="101">
        <v>0</v>
      </c>
      <c r="K151" s="101">
        <v>0</v>
      </c>
      <c r="L151" s="101">
        <v>0</v>
      </c>
      <c r="M151" s="101">
        <v>0</v>
      </c>
      <c r="N151" s="307">
        <v>0</v>
      </c>
      <c r="P151" s="277" t="str">
        <f>IF(Contents!$B$2=2,"Yes","Да")</f>
        <v>Yes</v>
      </c>
      <c r="R151" s="55"/>
      <c r="S151" s="55"/>
      <c r="T151" s="55"/>
      <c r="U151" s="55"/>
      <c r="V151" s="55"/>
      <c r="W151" s="277">
        <v>2</v>
      </c>
      <c r="X151" s="297"/>
      <c r="Y151" s="55"/>
      <c r="AA151" s="585"/>
    </row>
    <row r="152" spans="1:252" s="1" customFormat="1">
      <c r="A152" s="116"/>
      <c r="B152" s="285" t="str">
        <f>IF(Contents!$B$2=2,"Non-hazardous waste","Неопасные отходы")</f>
        <v>Non-hazardous waste</v>
      </c>
      <c r="C152" s="12" t="str">
        <f>IF(Contents!$B$2=2,"tons","т")</f>
        <v>tons</v>
      </c>
      <c r="D152" s="312" t="s">
        <v>185</v>
      </c>
      <c r="E152" s="312" t="s">
        <v>185</v>
      </c>
      <c r="F152" s="312" t="s">
        <v>185</v>
      </c>
      <c r="G152" s="312" t="s">
        <v>185</v>
      </c>
      <c r="H152" s="306" t="s">
        <v>185</v>
      </c>
      <c r="I152" s="306">
        <v>1426</v>
      </c>
      <c r="J152" s="101">
        <v>750</v>
      </c>
      <c r="K152" s="101">
        <v>488</v>
      </c>
      <c r="L152" s="101">
        <v>858</v>
      </c>
      <c r="M152" s="101">
        <v>1755</v>
      </c>
      <c r="N152" s="307">
        <v>1200</v>
      </c>
      <c r="O152" s="253"/>
      <c r="P152" s="277" t="str">
        <f>IF(Contents!$B$2=2,"Yes","Да")</f>
        <v>Yes</v>
      </c>
      <c r="Q152" s="253"/>
      <c r="R152" s="55"/>
      <c r="S152" s="55"/>
      <c r="T152" s="55"/>
      <c r="U152" s="55"/>
      <c r="V152" s="55"/>
      <c r="W152" s="277">
        <v>2</v>
      </c>
      <c r="X152" s="297"/>
      <c r="Y152" s="55"/>
      <c r="Z152" s="606"/>
      <c r="AA152" s="585"/>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c r="IJ152" s="14"/>
      <c r="IK152" s="14"/>
      <c r="IL152" s="14"/>
      <c r="IM152" s="14"/>
      <c r="IN152" s="14"/>
      <c r="IO152" s="14"/>
      <c r="IP152" s="14"/>
      <c r="IQ152" s="14"/>
      <c r="IR152" s="14"/>
    </row>
    <row r="153" spans="1:252" s="1" customFormat="1" ht="25.5">
      <c r="A153" s="116"/>
      <c r="B153" s="311" t="str">
        <f>IF(Contents!$B$2=2,"Waste transferred to the regional MSW operator","Отходы, переданные региональному оператору ТКО")</f>
        <v>Waste transferred to the regional MSW operator</v>
      </c>
      <c r="C153" s="12" t="str">
        <f>IF(Contents!$B$2=2,"tons","т")</f>
        <v>tons</v>
      </c>
      <c r="D153" s="312" t="s">
        <v>185</v>
      </c>
      <c r="E153" s="312" t="s">
        <v>185</v>
      </c>
      <c r="F153" s="312" t="s">
        <v>185</v>
      </c>
      <c r="G153" s="312" t="s">
        <v>185</v>
      </c>
      <c r="H153" s="306" t="s">
        <v>185</v>
      </c>
      <c r="I153" s="306">
        <v>920</v>
      </c>
      <c r="J153" s="306">
        <v>1246</v>
      </c>
      <c r="K153" s="306">
        <v>1293</v>
      </c>
      <c r="L153" s="306">
        <v>1966</v>
      </c>
      <c r="M153" s="306">
        <v>2520</v>
      </c>
      <c r="N153" s="827">
        <v>2832</v>
      </c>
      <c r="O153" s="253"/>
      <c r="P153" s="277" t="str">
        <f>IF(Contents!$B$2=2,"Yes","Да")</f>
        <v>Yes</v>
      </c>
      <c r="Q153" s="253"/>
      <c r="R153" s="313" t="s">
        <v>100</v>
      </c>
      <c r="S153" s="55"/>
      <c r="T153" s="56" t="s">
        <v>97</v>
      </c>
      <c r="U153" s="273" t="str">
        <f>IF(Contents!$B$2=2,"PBCS 6","СОКБ 6")</f>
        <v>PBCS 6</v>
      </c>
      <c r="V153" s="56"/>
      <c r="W153" s="277">
        <v>2</v>
      </c>
      <c r="X153" s="297"/>
      <c r="Y153" s="56"/>
      <c r="Z153" s="606"/>
      <c r="AA153" s="585"/>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c r="IJ153" s="14"/>
      <c r="IK153" s="14"/>
      <c r="IL153" s="14"/>
      <c r="IM153" s="14"/>
      <c r="IN153" s="14"/>
      <c r="IO153" s="14"/>
      <c r="IP153" s="14"/>
      <c r="IQ153" s="14"/>
      <c r="IR153" s="14"/>
    </row>
    <row r="154" spans="1:252" s="1" customFormat="1">
      <c r="A154" s="116"/>
      <c r="B154" s="285" t="str">
        <f>IF(Contents!$B$2=2,"Hazardous waste","Опасные отходы")</f>
        <v>Hazardous waste</v>
      </c>
      <c r="C154" s="12" t="str">
        <f>IF(Contents!$B$2=2,"tons","т")</f>
        <v>tons</v>
      </c>
      <c r="D154" s="312" t="s">
        <v>185</v>
      </c>
      <c r="E154" s="312" t="s">
        <v>185</v>
      </c>
      <c r="F154" s="312" t="s">
        <v>185</v>
      </c>
      <c r="G154" s="312" t="s">
        <v>185</v>
      </c>
      <c r="H154" s="306" t="s">
        <v>185</v>
      </c>
      <c r="I154" s="306">
        <v>0</v>
      </c>
      <c r="J154" s="101">
        <v>0</v>
      </c>
      <c r="K154" s="101">
        <v>0</v>
      </c>
      <c r="L154" s="101">
        <v>0</v>
      </c>
      <c r="M154" s="101">
        <v>0</v>
      </c>
      <c r="N154" s="307">
        <v>0</v>
      </c>
      <c r="O154" s="253"/>
      <c r="P154" s="277" t="str">
        <f>IF(Contents!$B$2=2,"Yes","Да")</f>
        <v>Yes</v>
      </c>
      <c r="Q154" s="253"/>
      <c r="R154" s="55"/>
      <c r="S154" s="55"/>
      <c r="T154" s="55"/>
      <c r="U154" s="55"/>
      <c r="V154" s="55"/>
      <c r="W154" s="277">
        <v>2</v>
      </c>
      <c r="X154" s="297"/>
      <c r="Y154" s="55"/>
      <c r="Z154" s="606"/>
      <c r="AA154" s="585"/>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c r="IJ154" s="14"/>
      <c r="IK154" s="14"/>
      <c r="IL154" s="14"/>
      <c r="IM154" s="14"/>
      <c r="IN154" s="14"/>
      <c r="IO154" s="14"/>
      <c r="IP154" s="14"/>
      <c r="IQ154" s="14"/>
      <c r="IR154" s="14"/>
    </row>
    <row r="155" spans="1:252" s="1" customFormat="1">
      <c r="A155" s="116"/>
      <c r="B155" s="285" t="str">
        <f>IF(Contents!$B$2=2,"Non-hazardous waste","Неопасные отходы")</f>
        <v>Non-hazardous waste</v>
      </c>
      <c r="C155" s="12" t="str">
        <f>IF(Contents!$B$2=2,"tons","т")</f>
        <v>tons</v>
      </c>
      <c r="D155" s="312" t="s">
        <v>185</v>
      </c>
      <c r="E155" s="312" t="s">
        <v>185</v>
      </c>
      <c r="F155" s="312" t="s">
        <v>185</v>
      </c>
      <c r="G155" s="312" t="s">
        <v>185</v>
      </c>
      <c r="H155" s="306" t="s">
        <v>185</v>
      </c>
      <c r="I155" s="306">
        <v>920</v>
      </c>
      <c r="J155" s="101">
        <v>1246</v>
      </c>
      <c r="K155" s="101">
        <v>1293</v>
      </c>
      <c r="L155" s="101">
        <v>1966</v>
      </c>
      <c r="M155" s="101">
        <v>2520</v>
      </c>
      <c r="N155" s="307">
        <v>2832</v>
      </c>
      <c r="O155" s="253"/>
      <c r="P155" s="277" t="str">
        <f>IF(Contents!$B$2=2,"Yes","Да")</f>
        <v>Yes</v>
      </c>
      <c r="Q155" s="253"/>
      <c r="R155" s="55"/>
      <c r="S155" s="55"/>
      <c r="T155" s="55"/>
      <c r="U155" s="55"/>
      <c r="V155" s="55"/>
      <c r="W155" s="277">
        <v>2</v>
      </c>
      <c r="X155" s="297"/>
      <c r="Y155" s="55"/>
      <c r="Z155" s="606"/>
      <c r="AA155" s="585"/>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c r="IJ155" s="14"/>
      <c r="IK155" s="14"/>
      <c r="IL155" s="14"/>
      <c r="IM155" s="14"/>
      <c r="IN155" s="14"/>
      <c r="IO155" s="14"/>
      <c r="IP155" s="14"/>
      <c r="IQ155" s="14"/>
      <c r="IR155" s="14"/>
    </row>
    <row r="156" spans="1:252" s="1" customFormat="1">
      <c r="A156" s="116"/>
      <c r="B156" s="311" t="str">
        <f>IF(Contents!$B$2=2,"Waste at the end of the year","Наличие отходов на конец года")</f>
        <v>Waste at the end of the year</v>
      </c>
      <c r="C156" s="12" t="str">
        <f>IF(Contents!$B$2=2,"tons","т")</f>
        <v>tons</v>
      </c>
      <c r="D156" s="312" t="s">
        <v>185</v>
      </c>
      <c r="E156" s="312" t="s">
        <v>185</v>
      </c>
      <c r="F156" s="312" t="s">
        <v>185</v>
      </c>
      <c r="G156" s="312" t="s">
        <v>185</v>
      </c>
      <c r="H156" s="306" t="s">
        <v>185</v>
      </c>
      <c r="I156" s="306">
        <v>13200</v>
      </c>
      <c r="J156" s="306">
        <v>7902</v>
      </c>
      <c r="K156" s="306">
        <v>2870</v>
      </c>
      <c r="L156" s="306">
        <v>4350</v>
      </c>
      <c r="M156" s="306">
        <v>1664</v>
      </c>
      <c r="N156" s="827">
        <v>4736</v>
      </c>
      <c r="O156" s="253"/>
      <c r="P156" s="277" t="str">
        <f>IF(Contents!$B$2=2,"Yes","Да")</f>
        <v>Yes</v>
      </c>
      <c r="Q156" s="253"/>
      <c r="R156" s="55"/>
      <c r="S156" s="55"/>
      <c r="T156" s="55"/>
      <c r="U156" s="55"/>
      <c r="V156" s="55"/>
      <c r="W156" s="277">
        <v>2</v>
      </c>
      <c r="X156" s="297"/>
      <c r="Y156" s="55"/>
      <c r="Z156" s="606"/>
      <c r="AA156" s="585"/>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c r="HM156" s="14"/>
      <c r="HN156" s="14"/>
      <c r="HO156" s="14"/>
      <c r="HP156" s="14"/>
      <c r="HQ156" s="14"/>
      <c r="HR156" s="14"/>
      <c r="HS156" s="14"/>
      <c r="HT156" s="14"/>
      <c r="HU156" s="14"/>
      <c r="HV156" s="14"/>
      <c r="HW156" s="14"/>
      <c r="HX156" s="14"/>
      <c r="HY156" s="14"/>
      <c r="HZ156" s="14"/>
      <c r="IA156" s="14"/>
      <c r="IB156" s="14"/>
      <c r="IC156" s="14"/>
      <c r="ID156" s="14"/>
      <c r="IE156" s="14"/>
      <c r="IF156" s="14"/>
      <c r="IG156" s="14"/>
      <c r="IH156" s="14"/>
      <c r="II156" s="14"/>
      <c r="IJ156" s="14"/>
      <c r="IK156" s="14"/>
      <c r="IL156" s="14"/>
      <c r="IM156" s="14"/>
      <c r="IN156" s="14"/>
      <c r="IO156" s="14"/>
      <c r="IP156" s="14"/>
      <c r="IQ156" s="14"/>
      <c r="IR156" s="14"/>
    </row>
    <row r="157" spans="1:252" s="1" customFormat="1">
      <c r="A157" s="116"/>
      <c r="B157" s="285" t="str">
        <f>IF(Contents!$B$2=2,"Hazardous waste","Опасные отходы")</f>
        <v>Hazardous waste</v>
      </c>
      <c r="C157" s="12" t="str">
        <f>IF(Contents!$B$2=2,"tons","т")</f>
        <v>tons</v>
      </c>
      <c r="D157" s="312" t="s">
        <v>185</v>
      </c>
      <c r="E157" s="312" t="s">
        <v>185</v>
      </c>
      <c r="F157" s="312" t="s">
        <v>185</v>
      </c>
      <c r="G157" s="312" t="s">
        <v>185</v>
      </c>
      <c r="H157" s="306" t="s">
        <v>185</v>
      </c>
      <c r="I157" s="306">
        <v>0</v>
      </c>
      <c r="J157" s="101">
        <v>2</v>
      </c>
      <c r="K157" s="101">
        <v>20</v>
      </c>
      <c r="L157" s="101">
        <v>29</v>
      </c>
      <c r="M157" s="101">
        <v>83</v>
      </c>
      <c r="N157" s="307">
        <v>101</v>
      </c>
      <c r="O157" s="253"/>
      <c r="P157" s="277" t="str">
        <f>IF(Contents!$B$2=2,"Yes","Да")</f>
        <v>Yes</v>
      </c>
      <c r="Q157" s="253"/>
      <c r="R157" s="55"/>
      <c r="S157" s="55"/>
      <c r="T157" s="55"/>
      <c r="U157" s="55"/>
      <c r="V157" s="55"/>
      <c r="W157" s="277">
        <v>2</v>
      </c>
      <c r="X157" s="297"/>
      <c r="Y157" s="55"/>
      <c r="Z157" s="606"/>
      <c r="AA157" s="585"/>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c r="HM157" s="14"/>
      <c r="HN157" s="14"/>
      <c r="HO157" s="14"/>
      <c r="HP157" s="14"/>
      <c r="HQ157" s="14"/>
      <c r="HR157" s="14"/>
      <c r="HS157" s="14"/>
      <c r="HT157" s="14"/>
      <c r="HU157" s="14"/>
      <c r="HV157" s="14"/>
      <c r="HW157" s="14"/>
      <c r="HX157" s="14"/>
      <c r="HY157" s="14"/>
      <c r="HZ157" s="14"/>
      <c r="IA157" s="14"/>
      <c r="IB157" s="14"/>
      <c r="IC157" s="14"/>
      <c r="ID157" s="14"/>
      <c r="IE157" s="14"/>
      <c r="IF157" s="14"/>
      <c r="IG157" s="14"/>
      <c r="IH157" s="14"/>
      <c r="II157" s="14"/>
      <c r="IJ157" s="14"/>
      <c r="IK157" s="14"/>
      <c r="IL157" s="14"/>
      <c r="IM157" s="14"/>
      <c r="IN157" s="14"/>
      <c r="IO157" s="14"/>
      <c r="IP157" s="14"/>
      <c r="IQ157" s="14"/>
      <c r="IR157" s="14"/>
    </row>
    <row r="158" spans="1:252" s="1" customFormat="1">
      <c r="A158" s="116"/>
      <c r="B158" s="285" t="str">
        <f>IF(Contents!$B$2=2,"Non-hazardous waste","Неопасные отходы")</f>
        <v>Non-hazardous waste</v>
      </c>
      <c r="C158" s="12" t="str">
        <f>IF(Contents!$B$2=2,"tons","т")</f>
        <v>tons</v>
      </c>
      <c r="D158" s="312" t="s">
        <v>185</v>
      </c>
      <c r="E158" s="312" t="s">
        <v>185</v>
      </c>
      <c r="F158" s="312" t="s">
        <v>185</v>
      </c>
      <c r="G158" s="312" t="s">
        <v>185</v>
      </c>
      <c r="H158" s="306" t="s">
        <v>185</v>
      </c>
      <c r="I158" s="306">
        <v>13200</v>
      </c>
      <c r="J158" s="101">
        <v>7900</v>
      </c>
      <c r="K158" s="101">
        <v>2850</v>
      </c>
      <c r="L158" s="101">
        <v>4321</v>
      </c>
      <c r="M158" s="101">
        <v>1581</v>
      </c>
      <c r="N158" s="307">
        <v>4635</v>
      </c>
      <c r="O158" s="253"/>
      <c r="P158" s="277" t="str">
        <f>IF(Contents!$B$2=2,"Yes","Да")</f>
        <v>Yes</v>
      </c>
      <c r="Q158" s="253"/>
      <c r="R158" s="55"/>
      <c r="S158" s="55"/>
      <c r="T158" s="55"/>
      <c r="U158" s="55"/>
      <c r="V158" s="55"/>
      <c r="W158" s="277">
        <v>2</v>
      </c>
      <c r="X158" s="297"/>
      <c r="Y158" s="55"/>
      <c r="Z158" s="606"/>
      <c r="AA158" s="585"/>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c r="HM158" s="14"/>
      <c r="HN158" s="14"/>
      <c r="HO158" s="14"/>
      <c r="HP158" s="14"/>
      <c r="HQ158" s="14"/>
      <c r="HR158" s="14"/>
      <c r="HS158" s="14"/>
      <c r="HT158" s="14"/>
      <c r="HU158" s="14"/>
      <c r="HV158" s="14"/>
      <c r="HW158" s="14"/>
      <c r="HX158" s="14"/>
      <c r="HY158" s="14"/>
      <c r="HZ158" s="14"/>
      <c r="IA158" s="14"/>
      <c r="IB158" s="14"/>
      <c r="IC158" s="14"/>
      <c r="ID158" s="14"/>
      <c r="IE158" s="14"/>
      <c r="IF158" s="14"/>
      <c r="IG158" s="14"/>
      <c r="IH158" s="14"/>
      <c r="II158" s="14"/>
      <c r="IJ158" s="14"/>
      <c r="IK158" s="14"/>
      <c r="IL158" s="14"/>
      <c r="IM158" s="14"/>
      <c r="IN158" s="14"/>
      <c r="IO158" s="14"/>
      <c r="IP158" s="14"/>
      <c r="IQ158" s="14"/>
      <c r="IR158" s="14"/>
    </row>
    <row r="159" spans="1:252" s="1" customFormat="1" ht="21.6" customHeight="1">
      <c r="A159" s="116"/>
      <c r="B159" s="52" t="str">
        <f>IF(Contents!$B$2=2,"Percentage of waste used for disposal and treatment","Доля отходов, направленных на утилизацию и обезвреживание")</f>
        <v>Percentage of waste used for disposal and treatment</v>
      </c>
      <c r="C159" s="165" t="s">
        <v>0</v>
      </c>
      <c r="D159" s="10" t="s">
        <v>185</v>
      </c>
      <c r="E159" s="10" t="s">
        <v>185</v>
      </c>
      <c r="F159" s="10" t="s">
        <v>185</v>
      </c>
      <c r="G159" s="10" t="s">
        <v>185</v>
      </c>
      <c r="H159" s="314">
        <v>75</v>
      </c>
      <c r="I159" s="314">
        <v>69</v>
      </c>
      <c r="J159" s="314">
        <v>83</v>
      </c>
      <c r="K159" s="314">
        <v>95</v>
      </c>
      <c r="L159" s="314">
        <v>89</v>
      </c>
      <c r="M159" s="314">
        <v>95</v>
      </c>
      <c r="N159" s="307">
        <v>92</v>
      </c>
      <c r="O159" s="869"/>
      <c r="P159" s="277" t="str">
        <f>IF(Contents!$B$2=2,"Yes","Да")</f>
        <v>Yes</v>
      </c>
      <c r="Q159" s="253"/>
      <c r="R159" s="297" t="s">
        <v>99</v>
      </c>
      <c r="S159" s="297"/>
      <c r="T159" s="297"/>
      <c r="U159" s="299"/>
      <c r="V159" s="297"/>
      <c r="W159" s="277">
        <v>2</v>
      </c>
      <c r="X159" s="297"/>
      <c r="Y159" s="297"/>
      <c r="Z159" s="617"/>
      <c r="AA159" s="585"/>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c r="HM159" s="14"/>
      <c r="HN159" s="14"/>
      <c r="HO159" s="14"/>
      <c r="HP159" s="14"/>
      <c r="HQ159" s="14"/>
      <c r="HR159" s="14"/>
      <c r="HS159" s="14"/>
      <c r="HT159" s="14"/>
      <c r="HU159" s="14"/>
      <c r="HV159" s="14"/>
      <c r="HW159" s="14"/>
      <c r="HX159" s="14"/>
      <c r="HY159" s="14"/>
      <c r="HZ159" s="14"/>
      <c r="IA159" s="14"/>
      <c r="IB159" s="14"/>
      <c r="IC159" s="14"/>
      <c r="ID159" s="14"/>
      <c r="IE159" s="14"/>
      <c r="IF159" s="14"/>
      <c r="IG159" s="14"/>
      <c r="IH159" s="14"/>
      <c r="II159" s="14"/>
      <c r="IJ159" s="14"/>
      <c r="IK159" s="14"/>
      <c r="IL159" s="14"/>
      <c r="IM159" s="14"/>
      <c r="IN159" s="14"/>
      <c r="IO159" s="14"/>
      <c r="IP159" s="14"/>
      <c r="IQ159" s="14"/>
      <c r="IR159" s="14"/>
    </row>
    <row r="160" spans="1:252" s="1" customFormat="1">
      <c r="A160" s="116"/>
      <c r="B160" s="52"/>
      <c r="C160" s="165"/>
      <c r="D160" s="10"/>
      <c r="E160" s="10"/>
      <c r="F160" s="10"/>
      <c r="G160" s="10"/>
      <c r="H160" s="314"/>
      <c r="I160" s="314"/>
      <c r="J160" s="314"/>
      <c r="K160" s="314"/>
      <c r="L160" s="314"/>
      <c r="M160" s="314"/>
      <c r="N160" s="314"/>
      <c r="O160" s="253"/>
      <c r="P160" s="277"/>
      <c r="Q160" s="253"/>
      <c r="R160" s="297"/>
      <c r="S160" s="297"/>
      <c r="T160" s="297"/>
      <c r="U160" s="299"/>
      <c r="V160" s="297"/>
      <c r="W160" s="277"/>
      <c r="X160" s="297"/>
      <c r="Y160" s="297"/>
      <c r="Z160" s="617"/>
      <c r="AA160" s="585"/>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c r="IJ160" s="14"/>
      <c r="IK160" s="14"/>
      <c r="IL160" s="14"/>
      <c r="IM160" s="14"/>
      <c r="IN160" s="14"/>
      <c r="IO160" s="14"/>
      <c r="IP160" s="14"/>
      <c r="IQ160" s="14"/>
      <c r="IR160" s="14"/>
    </row>
    <row r="161" spans="1:252" s="1" customFormat="1">
      <c r="A161" s="116"/>
      <c r="B161" s="25" t="str">
        <f>IF(Contents!$B$2=2,"Notes:","Примечания:")</f>
        <v>Notes:</v>
      </c>
      <c r="C161" s="61"/>
      <c r="D161" s="62"/>
      <c r="E161" s="62"/>
      <c r="F161" s="62"/>
      <c r="G161" s="62"/>
      <c r="H161" s="62"/>
      <c r="I161" s="62"/>
      <c r="J161" s="62"/>
      <c r="K161" s="62"/>
      <c r="L161" s="62"/>
      <c r="M161" s="62"/>
      <c r="N161" s="63"/>
      <c r="O161" s="253"/>
      <c r="P161" s="56"/>
      <c r="Q161" s="253"/>
      <c r="R161" s="56"/>
      <c r="S161" s="56"/>
      <c r="T161" s="56"/>
      <c r="U161" s="60"/>
      <c r="V161" s="56"/>
      <c r="W161" s="56"/>
      <c r="X161" s="56"/>
      <c r="Y161" s="56"/>
      <c r="Z161" s="606"/>
      <c r="AA161" s="585"/>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c r="IJ161" s="14"/>
      <c r="IK161" s="14"/>
      <c r="IL161" s="14"/>
      <c r="IM161" s="14"/>
      <c r="IN161" s="14"/>
      <c r="IO161" s="14"/>
      <c r="IP161" s="14"/>
      <c r="IQ161" s="14"/>
      <c r="IR161" s="14"/>
    </row>
    <row r="162" spans="1:252" s="1" customFormat="1">
      <c r="A162" s="116"/>
      <c r="B162" s="65" t="str">
        <f>IF(Contents!$B$2=2,"Waste utilization mean waste treatment and utilization in accordance with the terms and definitions established by Russian legislation.","Под утилизацией отходов понимается обработка и утилизация отходов согласно терминам и определениям, установленным законодательством РФ.")</f>
        <v>Waste utilization mean waste treatment and utilization in accordance with the terms and definitions established by Russian legislation.</v>
      </c>
      <c r="C162" s="65"/>
      <c r="D162" s="65"/>
      <c r="E162" s="65"/>
      <c r="F162" s="65"/>
      <c r="G162" s="65"/>
      <c r="H162" s="65"/>
      <c r="I162" s="65"/>
      <c r="J162" s="65"/>
      <c r="K162" s="65"/>
      <c r="L162" s="65"/>
      <c r="M162" s="65"/>
      <c r="N162" s="65"/>
      <c r="O162" s="253"/>
      <c r="P162" s="56"/>
      <c r="Q162" s="253"/>
      <c r="R162" s="56"/>
      <c r="S162" s="56"/>
      <c r="T162" s="56"/>
      <c r="U162" s="60"/>
      <c r="V162" s="56"/>
      <c r="W162" s="56"/>
      <c r="X162" s="56"/>
      <c r="Y162" s="56"/>
      <c r="Z162" s="606"/>
      <c r="AA162" s="585"/>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c r="IJ162" s="14"/>
      <c r="IK162" s="14"/>
      <c r="IL162" s="14"/>
      <c r="IM162" s="14"/>
      <c r="IN162" s="14"/>
      <c r="IO162" s="14"/>
      <c r="IP162" s="14"/>
      <c r="IQ162" s="14"/>
      <c r="IR162" s="14"/>
    </row>
    <row r="163" spans="1:252" s="1" customFormat="1">
      <c r="A163" s="116"/>
      <c r="B163" s="65" t="str">
        <f>IF(Contents!$B$2=2,"The Percentage of waste used for utilization and neutralization is calculated by dividing the amount of generated waste and waste at the beginning of the year by the amount of recycled and neutralized waste.","Доля отходов, направленных на утилизацию и обезвреживание, рассчитывается путем деления суммы образовавшихся отходов и отходов на начало года на сумму утилизированных и обезвреженных отходов.")</f>
        <v>The Percentage of waste used for utilization and neutralization is calculated by dividing the amount of generated waste and waste at the beginning of the year by the amount of recycled and neutralized waste.</v>
      </c>
      <c r="C163" s="65"/>
      <c r="D163" s="65"/>
      <c r="E163" s="65"/>
      <c r="F163" s="65"/>
      <c r="G163" s="65"/>
      <c r="H163" s="65"/>
      <c r="I163" s="65"/>
      <c r="J163" s="65"/>
      <c r="K163" s="65"/>
      <c r="L163" s="65"/>
      <c r="M163" s="65"/>
      <c r="N163" s="65"/>
      <c r="O163" s="253"/>
      <c r="P163" s="56"/>
      <c r="Q163" s="253"/>
      <c r="R163" s="56"/>
      <c r="S163" s="56"/>
      <c r="T163" s="56"/>
      <c r="U163" s="60"/>
      <c r="V163" s="56"/>
      <c r="W163" s="56"/>
      <c r="X163" s="56"/>
      <c r="Y163" s="56"/>
      <c r="Z163" s="606"/>
      <c r="AA163" s="585"/>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row>
    <row r="164" spans="1:252" s="1" customFormat="1">
      <c r="A164" s="116"/>
      <c r="B164" s="65" t="str">
        <f>IF(Contents!$B$2=2,B263,B264)</f>
        <v>The amount of waste at the end of the year is calculated in accordance with Rosstat Order No. 627 of 09.10.2020 (as amended on 13.11.2020) and amounts to the sum of lines "Waste at the beginning of the year" and "Waste generated" less lines "Neutralization," "Landfill disposal," "Disposal", and "Waste transferred to the regional MSW operator."</v>
      </c>
      <c r="C164" s="65"/>
      <c r="D164" s="65"/>
      <c r="E164" s="65"/>
      <c r="F164" s="65"/>
      <c r="G164" s="65"/>
      <c r="H164" s="65"/>
      <c r="I164" s="65"/>
      <c r="J164" s="65"/>
      <c r="K164" s="65"/>
      <c r="L164" s="65"/>
      <c r="M164" s="65"/>
      <c r="N164" s="65"/>
      <c r="O164" s="253"/>
      <c r="P164" s="56"/>
      <c r="Q164" s="253"/>
      <c r="R164" s="56"/>
      <c r="S164" s="56"/>
      <c r="T164" s="56"/>
      <c r="U164" s="60"/>
      <c r="V164" s="56"/>
      <c r="W164" s="56"/>
      <c r="X164" s="56"/>
      <c r="Y164" s="56"/>
      <c r="Z164" s="606"/>
      <c r="AA164" s="585"/>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row>
    <row r="165" spans="1:252" s="1" customFormat="1">
      <c r="A165" s="116"/>
      <c r="B165" s="301"/>
      <c r="C165" s="301"/>
      <c r="D165" s="301"/>
      <c r="E165" s="301"/>
      <c r="F165" s="301"/>
      <c r="G165" s="301"/>
      <c r="H165" s="301"/>
      <c r="I165" s="301"/>
      <c r="J165" s="301"/>
      <c r="K165" s="301"/>
      <c r="L165" s="301"/>
      <c r="M165" s="301"/>
      <c r="N165" s="301"/>
      <c r="O165" s="253"/>
      <c r="P165" s="56"/>
      <c r="Q165" s="253"/>
      <c r="R165" s="56"/>
      <c r="S165" s="56"/>
      <c r="T165" s="56"/>
      <c r="U165" s="60"/>
      <c r="V165" s="56"/>
      <c r="W165" s="56"/>
      <c r="X165" s="56"/>
      <c r="Y165" s="56"/>
      <c r="Z165" s="606"/>
      <c r="AA165" s="585"/>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c r="HM165" s="14"/>
      <c r="HN165" s="14"/>
      <c r="HO165" s="14"/>
      <c r="HP165" s="14"/>
      <c r="HQ165" s="14"/>
      <c r="HR165" s="14"/>
      <c r="HS165" s="14"/>
      <c r="HT165" s="14"/>
      <c r="HU165" s="14"/>
      <c r="HV165" s="14"/>
      <c r="HW165" s="14"/>
      <c r="HX165" s="14"/>
      <c r="HY165" s="14"/>
      <c r="HZ165" s="14"/>
      <c r="IA165" s="14"/>
      <c r="IB165" s="14"/>
      <c r="IC165" s="14"/>
      <c r="ID165" s="14"/>
      <c r="IE165" s="14"/>
      <c r="IF165" s="14"/>
      <c r="IG165" s="14"/>
      <c r="IH165" s="14"/>
      <c r="II165" s="14"/>
      <c r="IJ165" s="14"/>
      <c r="IK165" s="14"/>
      <c r="IL165" s="14"/>
      <c r="IM165" s="14"/>
      <c r="IN165" s="14"/>
      <c r="IO165" s="14"/>
      <c r="IP165" s="14"/>
      <c r="IQ165" s="14"/>
      <c r="IR165" s="14"/>
    </row>
    <row r="166" spans="1:252" s="1" customFormat="1" ht="20.100000000000001" customHeight="1">
      <c r="A166" s="116"/>
      <c r="B166" s="272" t="str">
        <f>IF(Contents!$B$2=2,"Water use and discharge","Водопользование и водоотведение")</f>
        <v>Water use and discharge</v>
      </c>
      <c r="C166" s="272"/>
      <c r="D166" s="272"/>
      <c r="E166" s="272"/>
      <c r="F166" s="272"/>
      <c r="G166" s="272"/>
      <c r="H166" s="272"/>
      <c r="I166" s="272"/>
      <c r="J166" s="272"/>
      <c r="K166" s="272"/>
      <c r="L166" s="272"/>
      <c r="M166" s="272"/>
      <c r="N166" s="272"/>
      <c r="O166" s="253"/>
      <c r="P166" s="616"/>
      <c r="Q166" s="253"/>
      <c r="R166" s="616"/>
      <c r="S166" s="616"/>
      <c r="T166" s="616"/>
      <c r="U166" s="616"/>
      <c r="V166" s="616"/>
      <c r="W166" s="616"/>
      <c r="X166" s="616"/>
      <c r="Y166" s="616"/>
      <c r="Z166" s="606"/>
      <c r="AA166" s="585"/>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c r="IL166" s="14"/>
      <c r="IM166" s="14"/>
      <c r="IN166" s="14"/>
      <c r="IO166" s="14"/>
      <c r="IP166" s="14"/>
      <c r="IQ166" s="14"/>
      <c r="IR166" s="14"/>
    </row>
    <row r="167" spans="1:252" s="1" customFormat="1" ht="25.5">
      <c r="A167" s="251"/>
      <c r="B167" s="274" t="str">
        <f>IF(Contents!$B$2=2,"Water withdrawal","Водозабор")</f>
        <v>Water withdrawal</v>
      </c>
      <c r="C167" s="42" t="str">
        <f>IF(Contents!$B$2=2,"th. cubic meters","тыс. куб. м")</f>
        <v>th. cubic meters</v>
      </c>
      <c r="D167" s="295" t="s">
        <v>185</v>
      </c>
      <c r="E167" s="295" t="s">
        <v>185</v>
      </c>
      <c r="F167" s="295" t="s">
        <v>185</v>
      </c>
      <c r="G167" s="295" t="s">
        <v>185</v>
      </c>
      <c r="H167" s="295">
        <v>2365</v>
      </c>
      <c r="I167" s="295">
        <v>2040</v>
      </c>
      <c r="J167" s="295">
        <v>2975</v>
      </c>
      <c r="K167" s="295">
        <v>2923</v>
      </c>
      <c r="L167" s="295">
        <v>4327</v>
      </c>
      <c r="M167" s="295">
        <v>4224</v>
      </c>
      <c r="N167" s="295">
        <v>2165</v>
      </c>
      <c r="O167" s="870"/>
      <c r="P167" s="277" t="str">
        <f>IF(Contents!$B$2=2,"Yes","Да")</f>
        <v>Yes</v>
      </c>
      <c r="Q167" s="511"/>
      <c r="R167" s="273" t="s">
        <v>101</v>
      </c>
      <c r="S167" s="273"/>
      <c r="T167" s="273"/>
      <c r="U167" s="273" t="str">
        <f>IF(Contents!$B$2=2,"PBCS 1","СОКБ 1")</f>
        <v>PBCS 1</v>
      </c>
      <c r="V167" s="273"/>
      <c r="W167" s="277">
        <v>2</v>
      </c>
      <c r="X167" s="277"/>
      <c r="Y167" s="273"/>
      <c r="Z167" s="606"/>
      <c r="AA167" s="585"/>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c r="IL167" s="14"/>
      <c r="IM167" s="14"/>
      <c r="IN167" s="14"/>
      <c r="IO167" s="14"/>
      <c r="IP167" s="14"/>
      <c r="IQ167" s="14"/>
      <c r="IR167" s="14"/>
    </row>
    <row r="168" spans="1:252" s="1" customFormat="1">
      <c r="A168" s="251"/>
      <c r="B168" s="23" t="str">
        <f>IF(Contents!$B$2=2,"by water type","по видам воды")</f>
        <v>by water type</v>
      </c>
      <c r="C168" s="13"/>
      <c r="D168" s="298"/>
      <c r="E168" s="298"/>
      <c r="F168" s="298"/>
      <c r="G168" s="298"/>
      <c r="H168" s="298"/>
      <c r="I168" s="298"/>
      <c r="J168" s="316"/>
      <c r="K168" s="316"/>
      <c r="L168" s="316"/>
      <c r="M168" s="316"/>
      <c r="N168" s="316"/>
      <c r="O168" s="253"/>
      <c r="P168" s="56"/>
      <c r="Q168" s="511"/>
      <c r="R168" s="273"/>
      <c r="S168" s="273"/>
      <c r="T168" s="273"/>
      <c r="U168" s="620"/>
      <c r="V168" s="273"/>
      <c r="W168" s="56"/>
      <c r="X168" s="56"/>
      <c r="Y168" s="273"/>
      <c r="Z168" s="606"/>
      <c r="AA168" s="585"/>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c r="IJ168" s="14"/>
      <c r="IK168" s="14"/>
      <c r="IL168" s="14"/>
      <c r="IM168" s="14"/>
      <c r="IN168" s="14"/>
      <c r="IO168" s="14"/>
      <c r="IP168" s="14"/>
      <c r="IQ168" s="14"/>
      <c r="IR168" s="14"/>
    </row>
    <row r="169" spans="1:252" s="1" customFormat="1">
      <c r="A169" s="251"/>
      <c r="B169" s="41" t="str">
        <f>IF(Contents!$B$2=2,"Freshwater withdrawal (mineralization not more than 1000 mg/l)","Пресная вода (общая минерализация не более 1000 мг/л)")</f>
        <v>Freshwater withdrawal (mineralization not more than 1000 mg/l)</v>
      </c>
      <c r="C169" s="12" t="str">
        <f>IF(Contents!$B$2=2,"th. cubic meters","тыс. куб. м")</f>
        <v>th. cubic meters</v>
      </c>
      <c r="D169" s="221" t="s">
        <v>185</v>
      </c>
      <c r="E169" s="221" t="s">
        <v>185</v>
      </c>
      <c r="F169" s="221" t="s">
        <v>185</v>
      </c>
      <c r="G169" s="221" t="s">
        <v>185</v>
      </c>
      <c r="H169" s="205">
        <v>1711</v>
      </c>
      <c r="I169" s="317">
        <v>1952</v>
      </c>
      <c r="J169" s="317">
        <v>2738</v>
      </c>
      <c r="K169" s="317">
        <v>2656</v>
      </c>
      <c r="L169" s="317">
        <v>3079</v>
      </c>
      <c r="M169" s="317">
        <v>2929</v>
      </c>
      <c r="N169" s="318">
        <v>2006</v>
      </c>
      <c r="O169" s="887"/>
      <c r="P169" s="277" t="str">
        <f>IF(Contents!$B$2=2,"Yes","Да")</f>
        <v>Yes</v>
      </c>
      <c r="Q169" s="511"/>
      <c r="R169" s="621"/>
      <c r="S169" s="273" t="s">
        <v>102</v>
      </c>
      <c r="T169" s="273" t="s">
        <v>103</v>
      </c>
      <c r="U169" s="613"/>
      <c r="V169" s="273"/>
      <c r="W169" s="277">
        <v>2</v>
      </c>
      <c r="X169" s="308"/>
      <c r="Y169" s="273"/>
      <c r="Z169" s="606"/>
      <c r="AA169" s="585"/>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c r="IJ169" s="14"/>
      <c r="IK169" s="14"/>
      <c r="IL169" s="14"/>
      <c r="IM169" s="14"/>
      <c r="IN169" s="14"/>
      <c r="IO169" s="14"/>
      <c r="IP169" s="14"/>
      <c r="IQ169" s="14"/>
      <c r="IR169" s="14"/>
    </row>
    <row r="170" spans="1:252" s="1" customFormat="1">
      <c r="A170" s="251"/>
      <c r="B170" s="41" t="str">
        <f>IF(Contents!$B$2=2,"Other withdrawal (mineralization more than 1000 mg/l)","Прочая вода (общая минерализация более 1000 мг/л)")</f>
        <v>Other withdrawal (mineralization more than 1000 mg/l)</v>
      </c>
      <c r="C170" s="12" t="str">
        <f>IF(Contents!$B$2=2,"th. cubic meters","тыс. куб. м")</f>
        <v>th. cubic meters</v>
      </c>
      <c r="D170" s="221" t="s">
        <v>185</v>
      </c>
      <c r="E170" s="221" t="s">
        <v>185</v>
      </c>
      <c r="F170" s="221" t="s">
        <v>185</v>
      </c>
      <c r="G170" s="221" t="s">
        <v>185</v>
      </c>
      <c r="H170" s="205">
        <v>654</v>
      </c>
      <c r="I170" s="317">
        <v>88</v>
      </c>
      <c r="J170" s="317">
        <v>237</v>
      </c>
      <c r="K170" s="317">
        <v>267</v>
      </c>
      <c r="L170" s="317">
        <v>1248</v>
      </c>
      <c r="M170" s="317">
        <v>1295</v>
      </c>
      <c r="N170" s="318">
        <v>159</v>
      </c>
      <c r="O170" s="870"/>
      <c r="P170" s="277"/>
      <c r="Q170" s="511"/>
      <c r="R170" s="621"/>
      <c r="S170" s="273"/>
      <c r="T170" s="273"/>
      <c r="U170" s="613"/>
      <c r="V170" s="273"/>
      <c r="W170" s="277">
        <v>2</v>
      </c>
      <c r="X170" s="273"/>
      <c r="Y170" s="273"/>
      <c r="Z170" s="606"/>
      <c r="AA170" s="585"/>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c r="HM170" s="14"/>
      <c r="HN170" s="14"/>
      <c r="HO170" s="14"/>
      <c r="HP170" s="14"/>
      <c r="HQ170" s="14"/>
      <c r="HR170" s="14"/>
      <c r="HS170" s="14"/>
      <c r="HT170" s="14"/>
      <c r="HU170" s="14"/>
      <c r="HV170" s="14"/>
      <c r="HW170" s="14"/>
      <c r="HX170" s="14"/>
      <c r="HY170" s="14"/>
      <c r="HZ170" s="14"/>
      <c r="IA170" s="14"/>
      <c r="IB170" s="14"/>
      <c r="IC170" s="14"/>
      <c r="ID170" s="14"/>
      <c r="IE170" s="14"/>
      <c r="IF170" s="14"/>
      <c r="IG170" s="14"/>
      <c r="IH170" s="14"/>
      <c r="II170" s="14"/>
      <c r="IJ170" s="14"/>
      <c r="IK170" s="14"/>
      <c r="IL170" s="14"/>
      <c r="IM170" s="14"/>
      <c r="IN170" s="14"/>
      <c r="IO170" s="14"/>
      <c r="IP170" s="14"/>
      <c r="IQ170" s="14"/>
      <c r="IR170" s="14"/>
    </row>
    <row r="171" spans="1:252" s="1" customFormat="1">
      <c r="A171" s="315"/>
      <c r="B171" s="23" t="str">
        <f>IF(Contents!$B$2=2,"by segment","по сегментам")</f>
        <v>by segment</v>
      </c>
      <c r="C171" s="13"/>
      <c r="D171" s="298"/>
      <c r="E171" s="298"/>
      <c r="F171" s="298"/>
      <c r="G171" s="298"/>
      <c r="H171" s="298"/>
      <c r="I171" s="298"/>
      <c r="J171" s="661"/>
      <c r="K171" s="661"/>
      <c r="L171" s="661"/>
      <c r="M171" s="661"/>
      <c r="N171" s="661"/>
      <c r="O171" s="253"/>
      <c r="P171" s="273"/>
      <c r="Q171" s="511"/>
      <c r="R171" s="273"/>
      <c r="S171" s="273"/>
      <c r="T171" s="273"/>
      <c r="U171" s="620"/>
      <c r="V171" s="273"/>
      <c r="W171" s="273"/>
      <c r="X171" s="273"/>
      <c r="Y171" s="273"/>
      <c r="Z171" s="606"/>
      <c r="AA171" s="585"/>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c r="IJ171" s="14"/>
      <c r="IK171" s="14"/>
      <c r="IL171" s="14"/>
      <c r="IM171" s="14"/>
      <c r="IN171" s="14"/>
      <c r="IO171" s="14"/>
      <c r="IP171" s="14"/>
      <c r="IQ171" s="14"/>
      <c r="IR171" s="14"/>
    </row>
    <row r="172" spans="1:252" s="1" customFormat="1">
      <c r="A172" s="315"/>
      <c r="B172" s="41" t="str">
        <f>IF(Contents!$B$2=2,"Exploration and production enterprises","Предприятия разведки и добычи")</f>
        <v>Exploration and production enterprises</v>
      </c>
      <c r="C172" s="12" t="str">
        <f>IF(Contents!$B$2=2,"th. cubic meters","тыс. куб. м")</f>
        <v>th. cubic meters</v>
      </c>
      <c r="D172" s="221" t="s">
        <v>185</v>
      </c>
      <c r="E172" s="221" t="s">
        <v>185</v>
      </c>
      <c r="F172" s="221" t="s">
        <v>185</v>
      </c>
      <c r="G172" s="221" t="s">
        <v>185</v>
      </c>
      <c r="H172" s="221" t="s">
        <v>185</v>
      </c>
      <c r="I172" s="221" t="s">
        <v>185</v>
      </c>
      <c r="J172" s="317">
        <v>2259</v>
      </c>
      <c r="K172" s="317">
        <v>1488</v>
      </c>
      <c r="L172" s="317">
        <v>2352</v>
      </c>
      <c r="M172" s="317">
        <v>2345</v>
      </c>
      <c r="N172" s="318">
        <v>1290</v>
      </c>
      <c r="O172" s="253"/>
      <c r="P172" s="277" t="str">
        <f>IF(Contents!$B$2=2,"Yes","Да")</f>
        <v>Yes</v>
      </c>
      <c r="Q172" s="511"/>
      <c r="R172" s="622"/>
      <c r="S172" s="273"/>
      <c r="T172" s="273"/>
      <c r="U172" s="613"/>
      <c r="V172" s="273"/>
      <c r="W172" s="277">
        <v>2</v>
      </c>
      <c r="X172" s="308"/>
      <c r="Y172" s="273"/>
      <c r="Z172" s="606"/>
      <c r="AA172" s="585"/>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c r="IQ172" s="14"/>
      <c r="IR172" s="14"/>
    </row>
    <row r="173" spans="1:252">
      <c r="A173" s="315"/>
      <c r="B173" s="41" t="str">
        <f>IF(Contents!$B$2=2,"Refineries","Предприятия переработки")</f>
        <v>Refineries</v>
      </c>
      <c r="C173" s="12" t="str">
        <f>IF(Contents!$B$2=2,"th. cubic meters","тыс. куб. м")</f>
        <v>th. cubic meters</v>
      </c>
      <c r="D173" s="221" t="s">
        <v>185</v>
      </c>
      <c r="E173" s="221" t="s">
        <v>185</v>
      </c>
      <c r="F173" s="221" t="s">
        <v>185</v>
      </c>
      <c r="G173" s="221" t="s">
        <v>185</v>
      </c>
      <c r="H173" s="221" t="s">
        <v>185</v>
      </c>
      <c r="I173" s="221" t="s">
        <v>185</v>
      </c>
      <c r="J173" s="319">
        <v>191</v>
      </c>
      <c r="K173" s="319">
        <v>177</v>
      </c>
      <c r="L173" s="319">
        <v>491</v>
      </c>
      <c r="M173" s="319">
        <v>482</v>
      </c>
      <c r="N173" s="318">
        <v>284</v>
      </c>
      <c r="P173" s="277" t="str">
        <f>IF(Contents!$B$2=2,"Yes","Да")</f>
        <v>Yes</v>
      </c>
      <c r="Q173" s="511"/>
      <c r="R173" s="622"/>
      <c r="S173" s="273"/>
      <c r="T173" s="273"/>
      <c r="U173" s="613"/>
      <c r="V173" s="273"/>
      <c r="W173" s="277">
        <v>2</v>
      </c>
      <c r="X173" s="308"/>
      <c r="Y173" s="273"/>
      <c r="AA173" s="585"/>
    </row>
    <row r="174" spans="1:252">
      <c r="A174" s="315"/>
      <c r="B174" s="41" t="str">
        <f>IF(Contents!$B$2=2,"Power service enterprises","Предприятия энергосервиса")</f>
        <v>Power service enterprises</v>
      </c>
      <c r="C174" s="12" t="str">
        <f>IF(Contents!$B$2=2,"th. cubic meters","тыс. куб. м")</f>
        <v>th. cubic meters</v>
      </c>
      <c r="D174" s="221" t="s">
        <v>185</v>
      </c>
      <c r="E174" s="221" t="s">
        <v>185</v>
      </c>
      <c r="F174" s="221" t="s">
        <v>185</v>
      </c>
      <c r="G174" s="221" t="s">
        <v>185</v>
      </c>
      <c r="H174" s="221" t="s">
        <v>185</v>
      </c>
      <c r="I174" s="221" t="s">
        <v>185</v>
      </c>
      <c r="J174" s="317">
        <v>2</v>
      </c>
      <c r="K174" s="317">
        <v>776</v>
      </c>
      <c r="L174" s="317">
        <v>956</v>
      </c>
      <c r="M174" s="317">
        <v>785</v>
      </c>
      <c r="N174" s="318">
        <v>161</v>
      </c>
      <c r="P174" s="277" t="str">
        <f>IF(Contents!$B$2=2,"Yes","Да")</f>
        <v>Yes</v>
      </c>
      <c r="Q174" s="511"/>
      <c r="R174" s="622"/>
      <c r="S174" s="273"/>
      <c r="T174" s="273"/>
      <c r="U174" s="613"/>
      <c r="V174" s="273"/>
      <c r="W174" s="277">
        <v>2</v>
      </c>
      <c r="X174" s="308"/>
      <c r="Y174" s="273"/>
      <c r="AA174" s="585"/>
    </row>
    <row r="175" spans="1:252" s="1" customFormat="1">
      <c r="A175" s="315"/>
      <c r="B175" s="41" t="str">
        <f>IF(Contents!$B$2=2,"LNG production enterprises","Предприятия производства СПГ")</f>
        <v>LNG production enterprises</v>
      </c>
      <c r="C175" s="12" t="str">
        <f>IF(Contents!$B$2=2,"th. cubic meters","тыс. куб. м")</f>
        <v>th. cubic meters</v>
      </c>
      <c r="D175" s="221" t="s">
        <v>185</v>
      </c>
      <c r="E175" s="221" t="s">
        <v>185</v>
      </c>
      <c r="F175" s="221" t="s">
        <v>185</v>
      </c>
      <c r="G175" s="221" t="s">
        <v>185</v>
      </c>
      <c r="H175" s="221" t="s">
        <v>185</v>
      </c>
      <c r="I175" s="221" t="s">
        <v>185</v>
      </c>
      <c r="J175" s="317">
        <v>523</v>
      </c>
      <c r="K175" s="317">
        <v>482</v>
      </c>
      <c r="L175" s="317">
        <v>528</v>
      </c>
      <c r="M175" s="317">
        <v>612</v>
      </c>
      <c r="N175" s="318">
        <v>430</v>
      </c>
      <c r="O175" s="253"/>
      <c r="P175" s="277" t="str">
        <f>IF(Contents!$B$2=2,"Yes","Да")</f>
        <v>Yes</v>
      </c>
      <c r="Q175" s="511"/>
      <c r="R175" s="622"/>
      <c r="S175" s="273"/>
      <c r="T175" s="273"/>
      <c r="U175" s="613"/>
      <c r="V175" s="273"/>
      <c r="W175" s="277">
        <v>2</v>
      </c>
      <c r="X175" s="308"/>
      <c r="Y175" s="273"/>
      <c r="Z175" s="606"/>
      <c r="AA175" s="585"/>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c r="IL175" s="14"/>
      <c r="IM175" s="14"/>
      <c r="IN175" s="14"/>
      <c r="IO175" s="14"/>
      <c r="IP175" s="14"/>
      <c r="IQ175" s="14"/>
      <c r="IR175" s="14"/>
    </row>
    <row r="176" spans="1:252" s="1" customFormat="1">
      <c r="A176" s="116"/>
      <c r="B176" s="23" t="str">
        <f>IF(Contents!$B$2=2,"by source type","по типу источника")</f>
        <v>by source type</v>
      </c>
      <c r="C176" s="13"/>
      <c r="D176" s="298"/>
      <c r="E176" s="298"/>
      <c r="F176" s="298"/>
      <c r="G176" s="298"/>
      <c r="H176" s="298"/>
      <c r="I176" s="320"/>
      <c r="J176" s="661"/>
      <c r="K176" s="661"/>
      <c r="L176" s="661"/>
      <c r="M176" s="661"/>
      <c r="N176" s="661"/>
      <c r="O176" s="253"/>
      <c r="P176" s="273"/>
      <c r="Q176" s="511"/>
      <c r="R176" s="273"/>
      <c r="S176" s="273"/>
      <c r="T176" s="273"/>
      <c r="U176" s="620"/>
      <c r="V176" s="273"/>
      <c r="W176" s="273"/>
      <c r="X176" s="273"/>
      <c r="Y176" s="273"/>
      <c r="Z176" s="606"/>
      <c r="AA176" s="585"/>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c r="IL176" s="14"/>
      <c r="IM176" s="14"/>
      <c r="IN176" s="14"/>
      <c r="IO176" s="14"/>
      <c r="IP176" s="14"/>
      <c r="IQ176" s="14"/>
      <c r="IR176" s="14"/>
    </row>
    <row r="177" spans="1:252" s="1" customFormat="1">
      <c r="A177" s="251"/>
      <c r="B177" s="11" t="str">
        <f>IF(Contents!$B$2=2,"Surface water ","Поверхностные воды")</f>
        <v xml:space="preserve">Surface water </v>
      </c>
      <c r="C177" s="12" t="str">
        <f>IF(Contents!$B$2=2,"th. cubic meters","тыс. куб. м")</f>
        <v>th. cubic meters</v>
      </c>
      <c r="D177" s="221" t="s">
        <v>185</v>
      </c>
      <c r="E177" s="221" t="s">
        <v>185</v>
      </c>
      <c r="F177" s="221" t="s">
        <v>185</v>
      </c>
      <c r="G177" s="221" t="s">
        <v>185</v>
      </c>
      <c r="H177" s="205">
        <v>1729</v>
      </c>
      <c r="I177" s="205">
        <v>1184</v>
      </c>
      <c r="J177" s="317">
        <v>1606</v>
      </c>
      <c r="K177" s="317">
        <v>2062</v>
      </c>
      <c r="L177" s="317">
        <v>2006</v>
      </c>
      <c r="M177" s="317">
        <v>1778</v>
      </c>
      <c r="N177" s="318">
        <v>1195</v>
      </c>
      <c r="O177" s="887"/>
      <c r="P177" s="277" t="str">
        <f>IF(Contents!$B$2=2,"Yes","Да")</f>
        <v>Yes</v>
      </c>
      <c r="Q177" s="511"/>
      <c r="R177" s="273"/>
      <c r="S177" s="273"/>
      <c r="T177" s="273"/>
      <c r="U177" s="613"/>
      <c r="V177" s="273"/>
      <c r="W177" s="277">
        <v>2</v>
      </c>
      <c r="X177" s="308"/>
      <c r="Y177" s="273"/>
      <c r="Z177" s="606"/>
      <c r="AA177" s="585"/>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c r="IL177" s="14"/>
      <c r="IM177" s="14"/>
      <c r="IN177" s="14"/>
      <c r="IO177" s="14"/>
      <c r="IP177" s="14"/>
      <c r="IQ177" s="14"/>
      <c r="IR177" s="14"/>
    </row>
    <row r="178" spans="1:252" s="1" customFormat="1">
      <c r="A178" s="251"/>
      <c r="B178" s="11" t="str">
        <f>IF(Contents!$B$2=2,"Ground water","Подземные воды")</f>
        <v>Ground water</v>
      </c>
      <c r="C178" s="12" t="str">
        <f>IF(Contents!$B$2=2,"th. cubic meters","тыс. куб. м")</f>
        <v>th. cubic meters</v>
      </c>
      <c r="D178" s="221" t="s">
        <v>185</v>
      </c>
      <c r="E178" s="221" t="s">
        <v>185</v>
      </c>
      <c r="F178" s="221" t="s">
        <v>185</v>
      </c>
      <c r="G178" s="221" t="s">
        <v>185</v>
      </c>
      <c r="H178" s="205">
        <v>633</v>
      </c>
      <c r="I178" s="205">
        <v>827</v>
      </c>
      <c r="J178" s="317">
        <v>861</v>
      </c>
      <c r="K178" s="317">
        <v>827</v>
      </c>
      <c r="L178" s="317">
        <v>902</v>
      </c>
      <c r="M178" s="317">
        <v>1046</v>
      </c>
      <c r="N178" s="318">
        <v>784</v>
      </c>
      <c r="O178" s="887"/>
      <c r="P178" s="277" t="str">
        <f>IF(Contents!$B$2=2,"Yes","Да")</f>
        <v>Yes</v>
      </c>
      <c r="Q178" s="511"/>
      <c r="R178" s="273"/>
      <c r="S178" s="273"/>
      <c r="T178" s="273"/>
      <c r="U178" s="613"/>
      <c r="V178" s="273"/>
      <c r="W178" s="277">
        <v>2</v>
      </c>
      <c r="X178" s="308"/>
      <c r="Y178" s="273"/>
      <c r="Z178" s="606"/>
      <c r="AA178" s="585"/>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c r="IJ178" s="14"/>
      <c r="IK178" s="14"/>
      <c r="IL178" s="14"/>
      <c r="IM178" s="14"/>
      <c r="IN178" s="14"/>
      <c r="IO178" s="14"/>
      <c r="IP178" s="14"/>
      <c r="IQ178" s="14"/>
      <c r="IR178" s="14"/>
    </row>
    <row r="179" spans="1:252" s="1" customFormat="1">
      <c r="A179" s="251"/>
      <c r="B179" s="11" t="str">
        <f>IF(Contents!$B$2=2,"Seawater","Морские воды")</f>
        <v>Seawater</v>
      </c>
      <c r="C179" s="12" t="str">
        <f>IF(Contents!$B$2=2,"th. cubic meters","тыс. куб. м")</f>
        <v>th. cubic meters</v>
      </c>
      <c r="D179" s="221" t="s">
        <v>185</v>
      </c>
      <c r="E179" s="221" t="s">
        <v>185</v>
      </c>
      <c r="F179" s="221" t="s">
        <v>185</v>
      </c>
      <c r="G179" s="221" t="s">
        <v>185</v>
      </c>
      <c r="H179" s="221">
        <v>0</v>
      </c>
      <c r="I179" s="221">
        <v>0</v>
      </c>
      <c r="J179" s="317">
        <v>476</v>
      </c>
      <c r="K179" s="317">
        <v>0</v>
      </c>
      <c r="L179" s="317">
        <v>1376</v>
      </c>
      <c r="M179" s="317">
        <v>1318</v>
      </c>
      <c r="N179" s="318">
        <v>62</v>
      </c>
      <c r="O179" s="887"/>
      <c r="P179" s="277" t="str">
        <f>IF(Contents!$B$2=2,"Yes","Да")</f>
        <v>Yes</v>
      </c>
      <c r="Q179" s="511"/>
      <c r="R179" s="273"/>
      <c r="S179" s="273"/>
      <c r="T179" s="273"/>
      <c r="U179" s="613"/>
      <c r="V179" s="273"/>
      <c r="W179" s="277">
        <v>2</v>
      </c>
      <c r="X179" s="308"/>
      <c r="Y179" s="273"/>
      <c r="Z179" s="606"/>
      <c r="AA179" s="585"/>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c r="IL179" s="14"/>
      <c r="IM179" s="14"/>
      <c r="IN179" s="14"/>
      <c r="IO179" s="14"/>
      <c r="IP179" s="14"/>
      <c r="IQ179" s="14"/>
      <c r="IR179" s="14"/>
    </row>
    <row r="180" spans="1:252" s="1" customFormat="1">
      <c r="A180" s="251"/>
      <c r="B180" s="11" t="str">
        <f>IF(Contents!$B$2=2,"Water from third parties","Воды из сторонних организаций")</f>
        <v>Water from third parties</v>
      </c>
      <c r="C180" s="12" t="str">
        <f>IF(Contents!$B$2=2,"th. cubic meters","тыс. куб. м")</f>
        <v>th. cubic meters</v>
      </c>
      <c r="D180" s="221" t="s">
        <v>185</v>
      </c>
      <c r="E180" s="221" t="s">
        <v>185</v>
      </c>
      <c r="F180" s="221" t="s">
        <v>185</v>
      </c>
      <c r="G180" s="221" t="s">
        <v>185</v>
      </c>
      <c r="H180" s="205">
        <v>3</v>
      </c>
      <c r="I180" s="205">
        <v>29</v>
      </c>
      <c r="J180" s="317">
        <v>32</v>
      </c>
      <c r="K180" s="317">
        <v>34</v>
      </c>
      <c r="L180" s="317">
        <v>43</v>
      </c>
      <c r="M180" s="317">
        <v>82</v>
      </c>
      <c r="N180" s="318">
        <v>124</v>
      </c>
      <c r="O180" s="887"/>
      <c r="P180" s="277" t="str">
        <f>IF(Contents!$B$2=2,"Yes","Да")</f>
        <v>Yes</v>
      </c>
      <c r="Q180" s="511"/>
      <c r="R180" s="273"/>
      <c r="S180" s="273"/>
      <c r="T180" s="273"/>
      <c r="U180" s="613"/>
      <c r="V180" s="273"/>
      <c r="W180" s="277">
        <v>2</v>
      </c>
      <c r="X180" s="308"/>
      <c r="Y180" s="273"/>
      <c r="Z180" s="606"/>
      <c r="AA180" s="585"/>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c r="IJ180" s="14"/>
      <c r="IK180" s="14"/>
      <c r="IL180" s="14"/>
      <c r="IM180" s="14"/>
      <c r="IN180" s="14"/>
      <c r="IO180" s="14"/>
      <c r="IP180" s="14"/>
      <c r="IQ180" s="14"/>
      <c r="IR180" s="14"/>
    </row>
    <row r="181" spans="1:252" s="1" customFormat="1">
      <c r="A181" s="251"/>
      <c r="B181" s="11"/>
      <c r="C181" s="12"/>
      <c r="D181" s="221"/>
      <c r="E181" s="221"/>
      <c r="F181" s="221"/>
      <c r="G181" s="221"/>
      <c r="H181" s="205"/>
      <c r="I181" s="205"/>
      <c r="J181" s="317"/>
      <c r="K181" s="317"/>
      <c r="L181" s="317"/>
      <c r="M181" s="317"/>
      <c r="N181" s="317"/>
      <c r="O181" s="253"/>
      <c r="P181" s="277"/>
      <c r="Q181" s="511"/>
      <c r="R181" s="273"/>
      <c r="S181" s="273"/>
      <c r="T181" s="273"/>
      <c r="U181" s="613"/>
      <c r="V181" s="273"/>
      <c r="W181" s="277"/>
      <c r="X181" s="308"/>
      <c r="Y181" s="273"/>
      <c r="Z181" s="606"/>
      <c r="AA181" s="585"/>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c r="IL181" s="14"/>
      <c r="IM181" s="14"/>
      <c r="IN181" s="14"/>
      <c r="IO181" s="14"/>
      <c r="IP181" s="14"/>
      <c r="IQ181" s="14"/>
      <c r="IR181" s="14"/>
    </row>
    <row r="182" spans="1:252" s="1" customFormat="1">
      <c r="A182" s="251"/>
      <c r="B182" s="52" t="str">
        <f>IF(Contents!$B$2=2,"Water withdrawal in regions with water stress","Объем забираемой воды в регионах с дефицитом водных ресурсов")</f>
        <v>Water withdrawal in regions with water stress</v>
      </c>
      <c r="C182" s="12" t="str">
        <f>IF(Contents!$B$2=2,"th. cubic meters","тыс. куб. м")</f>
        <v>th. cubic meters</v>
      </c>
      <c r="D182" s="10">
        <v>0</v>
      </c>
      <c r="E182" s="10">
        <v>0</v>
      </c>
      <c r="F182" s="10">
        <v>0</v>
      </c>
      <c r="G182" s="10">
        <v>0</v>
      </c>
      <c r="H182" s="10">
        <v>0</v>
      </c>
      <c r="I182" s="10">
        <v>0</v>
      </c>
      <c r="J182" s="10">
        <v>0</v>
      </c>
      <c r="K182" s="10">
        <v>0</v>
      </c>
      <c r="L182" s="10">
        <v>0</v>
      </c>
      <c r="M182" s="10">
        <v>0</v>
      </c>
      <c r="N182" s="98">
        <v>0</v>
      </c>
      <c r="O182" s="253"/>
      <c r="P182" s="277" t="str">
        <f>IF(Contents!$B$2=2,"Yes","Да")</f>
        <v>Yes</v>
      </c>
      <c r="Q182" s="511"/>
      <c r="R182" s="56" t="s">
        <v>101</v>
      </c>
      <c r="S182" s="56" t="s">
        <v>102</v>
      </c>
      <c r="T182" s="56"/>
      <c r="U182" s="60"/>
      <c r="V182" s="56"/>
      <c r="W182" s="277">
        <v>2</v>
      </c>
      <c r="X182" s="297"/>
      <c r="Y182" s="56"/>
      <c r="Z182" s="606"/>
      <c r="AA182" s="585"/>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c r="HM182" s="14"/>
      <c r="HN182" s="14"/>
      <c r="HO182" s="14"/>
      <c r="HP182" s="14"/>
      <c r="HQ182" s="14"/>
      <c r="HR182" s="14"/>
      <c r="HS182" s="14"/>
      <c r="HT182" s="14"/>
      <c r="HU182" s="14"/>
      <c r="HV182" s="14"/>
      <c r="HW182" s="14"/>
      <c r="HX182" s="14"/>
      <c r="HY182" s="14"/>
      <c r="HZ182" s="14"/>
      <c r="IA182" s="14"/>
      <c r="IB182" s="14"/>
      <c r="IC182" s="14"/>
      <c r="ID182" s="14"/>
      <c r="IE182" s="14"/>
      <c r="IF182" s="14"/>
      <c r="IG182" s="14"/>
      <c r="IH182" s="14"/>
      <c r="II182" s="14"/>
      <c r="IJ182" s="14"/>
      <c r="IK182" s="14"/>
      <c r="IL182" s="14"/>
      <c r="IM182" s="14"/>
      <c r="IN182" s="14"/>
      <c r="IO182" s="14"/>
      <c r="IP182" s="14"/>
      <c r="IQ182" s="14"/>
      <c r="IR182" s="14"/>
    </row>
    <row r="183" spans="1:252" s="1" customFormat="1">
      <c r="A183" s="251"/>
      <c r="B183" s="321"/>
      <c r="C183" s="322"/>
      <c r="D183" s="221"/>
      <c r="E183" s="221"/>
      <c r="F183" s="221"/>
      <c r="G183" s="221"/>
      <c r="H183" s="205"/>
      <c r="I183" s="205"/>
      <c r="J183" s="317"/>
      <c r="K183" s="317"/>
      <c r="L183" s="317"/>
      <c r="M183" s="317"/>
      <c r="N183" s="317"/>
      <c r="O183" s="253"/>
      <c r="P183" s="273"/>
      <c r="Q183" s="511"/>
      <c r="R183" s="273"/>
      <c r="S183" s="273"/>
      <c r="T183" s="273"/>
      <c r="U183" s="613"/>
      <c r="V183" s="273"/>
      <c r="W183" s="273"/>
      <c r="X183" s="273"/>
      <c r="Y183" s="273"/>
      <c r="Z183" s="606"/>
      <c r="AA183" s="585"/>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c r="IJ183" s="14"/>
      <c r="IK183" s="14"/>
      <c r="IL183" s="14"/>
      <c r="IM183" s="14"/>
      <c r="IN183" s="14"/>
      <c r="IO183" s="14"/>
      <c r="IP183" s="14"/>
      <c r="IQ183" s="14"/>
      <c r="IR183" s="14"/>
    </row>
    <row r="184" spans="1:252" s="1" customFormat="1" ht="25.5">
      <c r="A184" s="251"/>
      <c r="B184" s="274" t="str">
        <f>IF(Contents!$B$2=2,"Total water consumption","Водопотребление")</f>
        <v>Total water consumption</v>
      </c>
      <c r="C184" s="42" t="str">
        <f>IF(Contents!$B$2=2,"th. cubic meters","тыс. куб. м")</f>
        <v>th. cubic meters</v>
      </c>
      <c r="D184" s="295" t="s">
        <v>185</v>
      </c>
      <c r="E184" s="295" t="s">
        <v>185</v>
      </c>
      <c r="F184" s="295" t="s">
        <v>185</v>
      </c>
      <c r="G184" s="295" t="s">
        <v>185</v>
      </c>
      <c r="H184" s="295" t="s">
        <v>185</v>
      </c>
      <c r="I184" s="323">
        <v>335</v>
      </c>
      <c r="J184" s="323">
        <v>466</v>
      </c>
      <c r="K184" s="323">
        <v>414</v>
      </c>
      <c r="L184" s="323">
        <v>1808</v>
      </c>
      <c r="M184" s="323">
        <v>1640</v>
      </c>
      <c r="N184" s="323">
        <v>215</v>
      </c>
      <c r="O184" s="889"/>
      <c r="P184" s="277" t="str">
        <f>IF(Contents!$B$2=2,"Yes","Да")</f>
        <v>Yes</v>
      </c>
      <c r="Q184" s="511"/>
      <c r="R184" s="273" t="s">
        <v>104</v>
      </c>
      <c r="S184" s="273"/>
      <c r="T184" s="273"/>
      <c r="U184" s="273" t="str">
        <f>IF(Contents!$B$2=2,"PBCS 4","СОКБ 4")</f>
        <v>PBCS 4</v>
      </c>
      <c r="V184" s="273"/>
      <c r="W184" s="277">
        <v>2</v>
      </c>
      <c r="X184" s="308"/>
      <c r="Y184" s="273"/>
      <c r="Z184" s="606"/>
      <c r="AA184" s="585"/>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c r="IJ184" s="14"/>
      <c r="IK184" s="14"/>
      <c r="IL184" s="14"/>
      <c r="IM184" s="14"/>
      <c r="IN184" s="14"/>
      <c r="IO184" s="14"/>
      <c r="IP184" s="14"/>
      <c r="IQ184" s="14"/>
      <c r="IR184" s="14"/>
    </row>
    <row r="185" spans="1:252">
      <c r="A185" s="116"/>
      <c r="B185" s="75" t="str">
        <f>IF(Contents!$B$2=2,"Specific water consumption","Удельное водопотребление")</f>
        <v>Specific water consumption</v>
      </c>
      <c r="C185" s="327" t="str">
        <f>IF(Contents!$B$2=2,"cubic meters / mboe","куб. м / тыс. бнэ")</f>
        <v>cubic meters / mboe</v>
      </c>
      <c r="D185" s="328" t="s">
        <v>185</v>
      </c>
      <c r="E185" s="328" t="s">
        <v>185</v>
      </c>
      <c r="F185" s="328" t="s">
        <v>185</v>
      </c>
      <c r="G185" s="329" t="s">
        <v>185</v>
      </c>
      <c r="H185" s="329" t="s">
        <v>185</v>
      </c>
      <c r="I185" s="330">
        <v>0.55000000000000004</v>
      </c>
      <c r="J185" s="330">
        <v>0.74</v>
      </c>
      <c r="K185" s="330">
        <v>0.66</v>
      </c>
      <c r="L185" s="330">
        <v>2.8</v>
      </c>
      <c r="M185" s="330">
        <v>2.46</v>
      </c>
      <c r="N185" s="330">
        <v>0.32</v>
      </c>
      <c r="O185" s="889"/>
      <c r="P185" s="277"/>
      <c r="Q185" s="511"/>
      <c r="R185" s="273"/>
      <c r="S185" s="273"/>
      <c r="T185" s="273"/>
      <c r="U185" s="273"/>
      <c r="V185" s="273"/>
      <c r="W185" s="277">
        <v>2</v>
      </c>
      <c r="X185" s="308"/>
      <c r="Y185" s="273"/>
      <c r="AA185" s="585"/>
    </row>
    <row r="186" spans="1:252">
      <c r="A186" s="116"/>
      <c r="B186" s="23" t="str">
        <f>IF(Contents!$B$2=2,"by segment","по сегментам")</f>
        <v>by segment</v>
      </c>
      <c r="C186" s="324"/>
      <c r="D186" s="325"/>
      <c r="E186" s="325"/>
      <c r="F186" s="325"/>
      <c r="G186" s="304"/>
      <c r="H186" s="304"/>
      <c r="I186" s="304"/>
      <c r="J186" s="326"/>
      <c r="K186" s="326"/>
      <c r="L186" s="326"/>
      <c r="M186" s="326"/>
      <c r="N186" s="326"/>
      <c r="P186" s="277"/>
      <c r="Q186" s="511"/>
      <c r="R186" s="273"/>
      <c r="S186" s="273"/>
      <c r="T186" s="273"/>
      <c r="U186" s="273"/>
      <c r="V186" s="273"/>
      <c r="W186" s="273"/>
      <c r="X186" s="273"/>
      <c r="Y186" s="273"/>
      <c r="AA186" s="585"/>
    </row>
    <row r="187" spans="1:252">
      <c r="A187" s="857"/>
      <c r="B187" s="41" t="str">
        <f>IF(Contents!$B$2=2,"Exploration and production enterprises","Предприятия разведки и добычи")</f>
        <v>Exploration and production enterprises</v>
      </c>
      <c r="C187" s="76" t="str">
        <f>IF(Contents!$B$2=2,"cubic meters / mboe","куб. м / тыс. бнэ")</f>
        <v>cubic meters / mboe</v>
      </c>
      <c r="D187" s="221" t="s">
        <v>185</v>
      </c>
      <c r="E187" s="221" t="s">
        <v>185</v>
      </c>
      <c r="F187" s="221" t="s">
        <v>185</v>
      </c>
      <c r="G187" s="221" t="s">
        <v>185</v>
      </c>
      <c r="H187" s="331">
        <v>3.7</v>
      </c>
      <c r="I187" s="280">
        <v>2.17</v>
      </c>
      <c r="J187" s="331">
        <v>3.61</v>
      </c>
      <c r="K187" s="331">
        <v>2.38</v>
      </c>
      <c r="L187" s="331">
        <v>3.65</v>
      </c>
      <c r="M187" s="331">
        <v>3.52</v>
      </c>
      <c r="N187" s="332">
        <v>1.92</v>
      </c>
      <c r="O187" s="889"/>
      <c r="P187" s="277"/>
      <c r="Q187" s="511"/>
      <c r="R187" s="273"/>
      <c r="S187" s="273"/>
      <c r="T187" s="273"/>
      <c r="U187" s="623"/>
      <c r="V187" s="273"/>
      <c r="W187" s="277">
        <v>2</v>
      </c>
      <c r="X187" s="297"/>
      <c r="Y187" s="273"/>
      <c r="AA187" s="585"/>
    </row>
    <row r="188" spans="1:252" ht="25.5">
      <c r="A188" s="116"/>
      <c r="B188" s="41" t="str">
        <f>IF(Contents!$B$2=2,"Refineries","Предприятия переработки")</f>
        <v>Refineries</v>
      </c>
      <c r="C188" s="333" t="str">
        <f>IF(Contents!$B$2=2,"cubic meters / ton of products","куб. м / т продукции")</f>
        <v>cubic meters / ton of products</v>
      </c>
      <c r="D188" s="221" t="s">
        <v>185</v>
      </c>
      <c r="E188" s="221" t="s">
        <v>185</v>
      </c>
      <c r="F188" s="221" t="s">
        <v>185</v>
      </c>
      <c r="G188" s="221" t="s">
        <v>185</v>
      </c>
      <c r="H188" s="331">
        <v>1.0999999999999999E-2</v>
      </c>
      <c r="I188" s="331">
        <v>0.01</v>
      </c>
      <c r="J188" s="331">
        <v>0.01</v>
      </c>
      <c r="K188" s="331">
        <v>0.01</v>
      </c>
      <c r="L188" s="331">
        <v>0.02</v>
      </c>
      <c r="M188" s="331">
        <v>0.02</v>
      </c>
      <c r="N188" s="332">
        <v>0.01</v>
      </c>
      <c r="O188" s="889"/>
      <c r="P188" s="277"/>
      <c r="Q188" s="511"/>
      <c r="R188" s="273"/>
      <c r="S188" s="273"/>
      <c r="T188" s="273"/>
      <c r="U188" s="624"/>
      <c r="V188" s="273"/>
      <c r="W188" s="277">
        <v>2</v>
      </c>
      <c r="X188" s="297"/>
      <c r="Y188" s="273"/>
      <c r="AA188" s="585"/>
    </row>
    <row r="189" spans="1:252">
      <c r="A189" s="116"/>
      <c r="B189" s="52" t="str">
        <f>IF(Contents!$B$2=2,"Water consumption in regions with water stress","Потребление воды в регионах с дефицитом водных ресурсов")</f>
        <v>Water consumption in regions with water stress</v>
      </c>
      <c r="C189" s="12" t="str">
        <f>IF(Contents!$B$2=2,"th. cubic meters","тыс. куб. м")</f>
        <v>th. cubic meters</v>
      </c>
      <c r="D189" s="10">
        <v>0</v>
      </c>
      <c r="E189" s="10">
        <v>0</v>
      </c>
      <c r="F189" s="10">
        <v>0</v>
      </c>
      <c r="G189" s="10">
        <v>0</v>
      </c>
      <c r="H189" s="10">
        <v>0</v>
      </c>
      <c r="I189" s="10">
        <v>0</v>
      </c>
      <c r="J189" s="10">
        <v>0</v>
      </c>
      <c r="K189" s="10">
        <v>0</v>
      </c>
      <c r="L189" s="10">
        <v>0</v>
      </c>
      <c r="M189" s="10">
        <v>0</v>
      </c>
      <c r="N189" s="98">
        <v>0</v>
      </c>
      <c r="O189" s="887"/>
      <c r="P189" s="277"/>
      <c r="Q189" s="511"/>
      <c r="R189" s="56"/>
      <c r="S189" s="56"/>
      <c r="T189" s="56"/>
      <c r="U189" s="60"/>
      <c r="V189" s="56"/>
      <c r="W189" s="277">
        <v>2</v>
      </c>
      <c r="X189" s="297"/>
      <c r="Y189" s="56"/>
      <c r="AA189" s="585"/>
    </row>
    <row r="190" spans="1:252">
      <c r="A190" s="116"/>
      <c r="B190" s="57"/>
      <c r="C190" s="12"/>
      <c r="D190" s="10"/>
      <c r="E190" s="10"/>
      <c r="F190" s="10"/>
      <c r="G190" s="10"/>
      <c r="H190" s="10"/>
      <c r="I190" s="10"/>
      <c r="J190" s="10"/>
      <c r="K190" s="10"/>
      <c r="L190" s="10"/>
      <c r="M190" s="10"/>
      <c r="N190" s="58"/>
      <c r="P190" s="277"/>
      <c r="R190" s="56"/>
      <c r="S190" s="56"/>
      <c r="T190" s="56"/>
      <c r="U190" s="60"/>
      <c r="V190" s="56"/>
      <c r="W190" s="56"/>
      <c r="X190" s="56"/>
      <c r="Y190" s="56"/>
      <c r="AA190" s="585"/>
    </row>
    <row r="191" spans="1:252">
      <c r="A191" s="116"/>
      <c r="B191" s="25" t="str">
        <f>IF(Contents!$B$2=2,"Notes:","Примечания:")</f>
        <v>Notes:</v>
      </c>
      <c r="C191" s="61"/>
      <c r="D191" s="62"/>
      <c r="E191" s="62"/>
      <c r="F191" s="62"/>
      <c r="G191" s="62"/>
      <c r="H191" s="62"/>
      <c r="I191" s="62"/>
      <c r="J191" s="62"/>
      <c r="K191" s="62"/>
      <c r="L191" s="62"/>
      <c r="M191" s="62"/>
      <c r="N191" s="62"/>
      <c r="P191" s="56"/>
      <c r="R191" s="56"/>
      <c r="S191" s="56"/>
      <c r="T191" s="56"/>
      <c r="U191" s="60"/>
      <c r="V191" s="56"/>
      <c r="W191" s="56"/>
      <c r="X191" s="56"/>
      <c r="Y191" s="56"/>
      <c r="AA191" s="585"/>
    </row>
    <row r="192" spans="1:252">
      <c r="A192" s="116"/>
      <c r="B192" s="65" t="str">
        <f>IF(Contents!$B$2=2,"1,000 cubic meters  = 1 megalitre, which meets the requirements of GRI 303.","1 тыс. куб. м = 1 мегалитр, что соответствует требованиям GRI 303.")</f>
        <v>1,000 cubic meters  = 1 megalitre, which meets the requirements of GRI 303.</v>
      </c>
      <c r="C192" s="61"/>
      <c r="D192" s="62"/>
      <c r="E192" s="62"/>
      <c r="F192" s="62"/>
      <c r="G192" s="62"/>
      <c r="H192" s="62"/>
      <c r="I192" s="62"/>
      <c r="J192" s="62"/>
      <c r="K192" s="62"/>
      <c r="L192" s="62"/>
      <c r="M192" s="62"/>
      <c r="N192" s="63"/>
      <c r="P192" s="56"/>
      <c r="R192" s="56"/>
      <c r="S192" s="56"/>
      <c r="T192" s="56"/>
      <c r="U192" s="60"/>
      <c r="V192" s="56"/>
      <c r="W192" s="56"/>
      <c r="X192" s="56"/>
      <c r="Y192" s="56"/>
      <c r="AA192" s="585"/>
    </row>
    <row r="193" spans="1:27">
      <c r="A193" s="116"/>
      <c r="B193" s="65" t="str">
        <f>IF(Contents!$B$2=2,"Total water consumption is defined as the difference between total water intake and total water discharge.","Общее потребление воды определяется как разница между общим забором воды и общим водоотведением.")</f>
        <v>Total water consumption is defined as the difference between total water intake and total water discharge.</v>
      </c>
      <c r="C193" s="65"/>
      <c r="D193" s="65"/>
      <c r="E193" s="65"/>
      <c r="F193" s="65"/>
      <c r="G193" s="65"/>
      <c r="H193" s="65"/>
      <c r="I193" s="65"/>
      <c r="J193" s="65"/>
      <c r="K193" s="65"/>
      <c r="L193" s="65"/>
      <c r="M193" s="65"/>
      <c r="N193" s="65"/>
      <c r="P193" s="56"/>
      <c r="R193" s="56"/>
      <c r="S193" s="56"/>
      <c r="T193" s="56"/>
      <c r="U193" s="60"/>
      <c r="V193" s="56"/>
      <c r="W193" s="56"/>
      <c r="X193" s="56"/>
      <c r="Y193" s="56"/>
      <c r="AA193" s="585"/>
    </row>
    <row r="194" spans="1:27">
      <c r="B194" s="65" t="str">
        <f>IF(Contents!$B$2=2,"Specific water consumption is calculated by dividing the volume of water consumption by the volume of production/processing in the relevant business segment, including the Company's share in joint ventures.","Удельное водопотребление рассчитывается путем деления объемов водопотребления на объемы производства/переработки в соответствующем бизнес-сегменте, включая долю Компании в совместных предприятиях.")</f>
        <v>Specific water consumption is calculated by dividing the volume of water consumption by the volume of production/processing in the relevant business segment, including the Company's share in joint ventures.</v>
      </c>
      <c r="C194" s="65"/>
      <c r="D194" s="65"/>
      <c r="E194" s="65"/>
      <c r="F194" s="65"/>
      <c r="G194" s="65"/>
      <c r="H194" s="65"/>
      <c r="I194" s="65"/>
      <c r="J194" s="65"/>
      <c r="K194" s="65"/>
      <c r="L194" s="65"/>
      <c r="M194" s="65"/>
      <c r="N194" s="65"/>
      <c r="P194" s="273"/>
      <c r="R194" s="273"/>
      <c r="S194" s="273"/>
      <c r="T194" s="273"/>
      <c r="U194" s="613"/>
      <c r="V194" s="273"/>
      <c r="W194" s="273"/>
      <c r="X194" s="273"/>
      <c r="Y194" s="273"/>
      <c r="AA194" s="585"/>
    </row>
    <row r="195" spans="1:27">
      <c r="B195" s="65" t="str">
        <f>IF(Contents!$B$2=2,"In the Other withdrawal (total mineralization exceeding 1,000 mg/l) line, the values are determined by subtracting the volume of fresh water consumption from the total water consumption.","В графе Прочая вода (общая минерализация более 1000 мг/л) значения определены вычитанием из общего водопотребления объема потребления пресной воды.")</f>
        <v>In the Other withdrawal (total mineralization exceeding 1,000 mg/l) line, the values are determined by subtracting the volume of fresh water consumption from the total water consumption.</v>
      </c>
      <c r="C195" s="65"/>
      <c r="D195" s="65"/>
      <c r="E195" s="65"/>
      <c r="F195" s="65"/>
      <c r="G195" s="65"/>
      <c r="H195" s="65"/>
      <c r="I195" s="65"/>
      <c r="J195" s="65"/>
      <c r="K195" s="65"/>
      <c r="L195" s="65"/>
      <c r="M195" s="65"/>
      <c r="N195" s="65"/>
      <c r="P195" s="273"/>
      <c r="R195" s="273"/>
      <c r="S195" s="273"/>
      <c r="T195" s="273"/>
      <c r="U195" s="613"/>
      <c r="V195" s="273"/>
      <c r="W195" s="273"/>
      <c r="X195" s="273"/>
      <c r="Y195" s="273"/>
      <c r="AA195" s="585"/>
    </row>
    <row r="196" spans="1:27">
      <c r="A196" s="116"/>
      <c r="B196" s="52"/>
      <c r="C196" s="165"/>
      <c r="D196" s="293"/>
      <c r="E196" s="293"/>
      <c r="F196" s="293"/>
      <c r="G196" s="293"/>
      <c r="H196" s="293"/>
      <c r="I196" s="293"/>
      <c r="J196" s="293"/>
      <c r="K196" s="293"/>
      <c r="L196" s="293"/>
      <c r="M196" s="293"/>
      <c r="N196" s="334"/>
      <c r="P196" s="926"/>
      <c r="R196" s="297"/>
      <c r="S196" s="297"/>
      <c r="T196" s="297"/>
      <c r="U196" s="299"/>
      <c r="V196" s="297"/>
      <c r="W196" s="297"/>
      <c r="X196" s="297"/>
      <c r="Y196" s="297"/>
      <c r="Z196" s="617"/>
      <c r="AA196" s="585"/>
    </row>
    <row r="197" spans="1:27" ht="25.5">
      <c r="A197" s="116"/>
      <c r="B197" s="274" t="str">
        <f>IF(Contents!$B$2=2,"Water discharge","Водоотведение")</f>
        <v>Water discharge</v>
      </c>
      <c r="C197" s="42" t="str">
        <f>IF(Contents!$B$2=2,"th. cubic meters","тыс. куб. м")</f>
        <v>th. cubic meters</v>
      </c>
      <c r="D197" s="247" t="s">
        <v>185</v>
      </c>
      <c r="E197" s="247" t="s">
        <v>185</v>
      </c>
      <c r="F197" s="247" t="s">
        <v>185</v>
      </c>
      <c r="G197" s="247" t="s">
        <v>185</v>
      </c>
      <c r="H197" s="247">
        <v>2385</v>
      </c>
      <c r="I197" s="247">
        <v>1705</v>
      </c>
      <c r="J197" s="247">
        <v>2509</v>
      </c>
      <c r="K197" s="247">
        <v>2509</v>
      </c>
      <c r="L197" s="247">
        <v>2519</v>
      </c>
      <c r="M197" s="247">
        <v>2584</v>
      </c>
      <c r="N197" s="247">
        <v>1950</v>
      </c>
      <c r="O197" s="876"/>
      <c r="P197" s="277" t="str">
        <f>IF(Contents!$B$2=2,"Yes","Да")</f>
        <v>Yes</v>
      </c>
      <c r="Q197" s="511"/>
      <c r="R197" s="273" t="s">
        <v>105</v>
      </c>
      <c r="S197" s="273" t="s">
        <v>106</v>
      </c>
      <c r="T197" s="273" t="s">
        <v>107</v>
      </c>
      <c r="U197" s="273" t="str">
        <f>IF(Contents!$B$2=2,"PBCS 2","СОКБ 2")</f>
        <v>PBCS 2</v>
      </c>
      <c r="V197" s="273"/>
      <c r="W197" s="277">
        <v>2</v>
      </c>
      <c r="X197" s="308"/>
      <c r="Y197" s="273"/>
      <c r="AA197" s="585"/>
    </row>
    <row r="198" spans="1:27">
      <c r="A198" s="116"/>
      <c r="B198" s="23" t="str">
        <f>IF(Contents!$B$2=2,"by water type","по видам воды")</f>
        <v>by water type</v>
      </c>
      <c r="C198" s="13"/>
      <c r="D198" s="335"/>
      <c r="E198" s="335"/>
      <c r="F198" s="335"/>
      <c r="G198" s="335"/>
      <c r="H198" s="336"/>
      <c r="I198" s="337"/>
      <c r="J198" s="337"/>
      <c r="K198" s="337"/>
      <c r="L198" s="337"/>
      <c r="M198" s="337"/>
      <c r="N198" s="337"/>
      <c r="P198" s="273"/>
      <c r="Q198" s="511"/>
      <c r="R198" s="273"/>
      <c r="S198" s="273"/>
      <c r="T198" s="273"/>
      <c r="U198" s="338"/>
      <c r="V198" s="273"/>
      <c r="W198" s="273"/>
      <c r="X198" s="273"/>
      <c r="Y198" s="273"/>
      <c r="AA198" s="585"/>
    </row>
    <row r="199" spans="1:27">
      <c r="A199" s="116"/>
      <c r="B199" s="41" t="str">
        <f>IF(Contents!$B$2=2,"Freshwater withdrawal (total mineralization of no more than 1,000 mg/l)","Пресная вода (общая минерализация не более 1000 мг/л)")</f>
        <v>Freshwater withdrawal (total mineralization of no more than 1,000 mg/l)</v>
      </c>
      <c r="C199" s="12" t="str">
        <f>IF(Contents!$B$2=2,"th. cubic meters","тыс. куб. м")</f>
        <v>th. cubic meters</v>
      </c>
      <c r="D199" s="221" t="s">
        <v>185</v>
      </c>
      <c r="E199" s="221" t="s">
        <v>185</v>
      </c>
      <c r="F199" s="221" t="s">
        <v>185</v>
      </c>
      <c r="G199" s="221" t="s">
        <v>185</v>
      </c>
      <c r="H199" s="221" t="s">
        <v>185</v>
      </c>
      <c r="I199" s="221" t="s">
        <v>185</v>
      </c>
      <c r="J199" s="101">
        <v>2248</v>
      </c>
      <c r="K199" s="101">
        <v>1911</v>
      </c>
      <c r="L199" s="101">
        <v>1996</v>
      </c>
      <c r="M199" s="101">
        <v>1948</v>
      </c>
      <c r="N199" s="204">
        <v>1458</v>
      </c>
      <c r="P199" s="277" t="str">
        <f>IF(Contents!$B$2=2,"Yes","Да")</f>
        <v>Yes</v>
      </c>
      <c r="Q199" s="511"/>
      <c r="R199" s="273"/>
      <c r="S199" s="273"/>
      <c r="T199" s="273"/>
      <c r="U199" s="613"/>
      <c r="V199" s="273"/>
      <c r="W199" s="277">
        <v>2</v>
      </c>
      <c r="X199" s="308"/>
      <c r="Y199" s="273"/>
      <c r="AA199" s="585"/>
    </row>
    <row r="200" spans="1:27">
      <c r="B200" s="41" t="str">
        <f>IF(Contents!$B$2=2,"Other withdrawal (total mineralization exceeding 1,000 mg/l)","Прочая вода (общая минерализация более 1000 мг/л)")</f>
        <v>Other withdrawal (total mineralization exceeding 1,000 mg/l)</v>
      </c>
      <c r="C200" s="12" t="str">
        <f>IF(Contents!$B$2=2,"th. cubic meters","тыс. куб. м")</f>
        <v>th. cubic meters</v>
      </c>
      <c r="D200" s="221" t="s">
        <v>185</v>
      </c>
      <c r="E200" s="221" t="s">
        <v>185</v>
      </c>
      <c r="F200" s="221" t="s">
        <v>185</v>
      </c>
      <c r="G200" s="221" t="s">
        <v>185</v>
      </c>
      <c r="H200" s="221" t="s">
        <v>185</v>
      </c>
      <c r="I200" s="221" t="s">
        <v>185</v>
      </c>
      <c r="J200" s="101">
        <v>261</v>
      </c>
      <c r="K200" s="101">
        <v>598</v>
      </c>
      <c r="L200" s="101">
        <v>523</v>
      </c>
      <c r="M200" s="101">
        <v>636</v>
      </c>
      <c r="N200" s="204">
        <v>492</v>
      </c>
      <c r="P200" s="277" t="str">
        <f>IF(Contents!$B$2=2,"Yes","Да")</f>
        <v>Yes</v>
      </c>
      <c r="Q200" s="511"/>
      <c r="R200" s="273"/>
      <c r="S200" s="273"/>
      <c r="T200" s="273"/>
      <c r="U200" s="613"/>
      <c r="V200" s="273"/>
      <c r="W200" s="277">
        <v>2</v>
      </c>
      <c r="X200" s="308"/>
      <c r="Y200" s="273"/>
      <c r="AA200" s="585"/>
    </row>
    <row r="201" spans="1:27">
      <c r="A201" s="116"/>
      <c r="B201" s="23" t="str">
        <f>IF(Contents!$B$2=2,"by types of destination","по типу приемников")</f>
        <v>by types of destination</v>
      </c>
      <c r="C201" s="13"/>
      <c r="D201" s="335"/>
      <c r="E201" s="335"/>
      <c r="F201" s="335"/>
      <c r="G201" s="335"/>
      <c r="H201" s="336"/>
      <c r="I201" s="337"/>
      <c r="J201" s="337"/>
      <c r="K201" s="337"/>
      <c r="L201" s="337"/>
      <c r="M201" s="337"/>
      <c r="N201" s="337"/>
      <c r="P201" s="273"/>
      <c r="Q201" s="511"/>
      <c r="R201" s="273"/>
      <c r="S201" s="273"/>
      <c r="T201" s="273"/>
      <c r="U201" s="338"/>
      <c r="V201" s="273"/>
      <c r="W201" s="273"/>
      <c r="X201" s="273"/>
      <c r="Y201" s="273"/>
      <c r="AA201" s="585"/>
    </row>
    <row r="202" spans="1:27">
      <c r="A202" s="315"/>
      <c r="B202" s="11" t="str">
        <f>IF(Contents!$B$2=2,"Surface water ","Поверхностные воды")</f>
        <v xml:space="preserve">Surface water </v>
      </c>
      <c r="C202" s="12" t="str">
        <f>IF(Contents!$B$2=2,"th. cubic meters","тыс. куб. м")</f>
        <v>th. cubic meters</v>
      </c>
      <c r="D202" s="221" t="s">
        <v>185</v>
      </c>
      <c r="E202" s="221" t="s">
        <v>185</v>
      </c>
      <c r="F202" s="221" t="s">
        <v>185</v>
      </c>
      <c r="G202" s="221" t="s">
        <v>185</v>
      </c>
      <c r="H202" s="101">
        <v>1234</v>
      </c>
      <c r="I202" s="101">
        <v>630</v>
      </c>
      <c r="J202" s="101">
        <v>223</v>
      </c>
      <c r="K202" s="101">
        <v>752</v>
      </c>
      <c r="L202" s="101">
        <v>927</v>
      </c>
      <c r="M202" s="101">
        <v>806</v>
      </c>
      <c r="N202" s="204">
        <v>497</v>
      </c>
      <c r="O202" s="890"/>
      <c r="P202" s="277" t="str">
        <f>IF(Contents!$B$2=2,"Yes","Да")</f>
        <v>Yes</v>
      </c>
      <c r="Q202" s="511"/>
      <c r="R202" s="273"/>
      <c r="S202" s="273"/>
      <c r="T202" s="273"/>
      <c r="U202" s="613"/>
      <c r="V202" s="273"/>
      <c r="W202" s="277">
        <v>2</v>
      </c>
      <c r="X202" s="308"/>
      <c r="Y202" s="273"/>
      <c r="AA202" s="585"/>
    </row>
    <row r="203" spans="1:27">
      <c r="A203" s="315"/>
      <c r="B203" s="11" t="str">
        <f>IF(Contents!$B$2=2,"Ground water","Подземные воды")</f>
        <v>Ground water</v>
      </c>
      <c r="C203" s="12" t="str">
        <f>IF(Contents!$B$2=2,"th. cubic meters","тыс. куб. м")</f>
        <v>th. cubic meters</v>
      </c>
      <c r="D203" s="221" t="s">
        <v>185</v>
      </c>
      <c r="E203" s="221" t="s">
        <v>185</v>
      </c>
      <c r="F203" s="221" t="s">
        <v>185</v>
      </c>
      <c r="G203" s="221" t="s">
        <v>185</v>
      </c>
      <c r="H203" s="101">
        <v>704</v>
      </c>
      <c r="I203" s="101">
        <v>869</v>
      </c>
      <c r="J203" s="101">
        <v>1015</v>
      </c>
      <c r="K203" s="101">
        <v>949</v>
      </c>
      <c r="L203" s="101">
        <v>888</v>
      </c>
      <c r="M203" s="101">
        <v>1007</v>
      </c>
      <c r="N203" s="204">
        <v>857</v>
      </c>
      <c r="O203" s="890"/>
      <c r="P203" s="277" t="str">
        <f>IF(Contents!$B$2=2,"Yes","Да")</f>
        <v>Yes</v>
      </c>
      <c r="Q203" s="511"/>
      <c r="R203" s="273"/>
      <c r="S203" s="273"/>
      <c r="T203" s="273"/>
      <c r="U203" s="613"/>
      <c r="V203" s="273"/>
      <c r="W203" s="277">
        <v>2</v>
      </c>
      <c r="X203" s="308"/>
      <c r="Y203" s="273"/>
      <c r="AA203" s="585"/>
    </row>
    <row r="204" spans="1:27">
      <c r="A204" s="315"/>
      <c r="B204" s="11" t="str">
        <f>IF(Contents!$B$2=2,"Seawater","Морские воды")</f>
        <v>Seawater</v>
      </c>
      <c r="C204" s="12" t="str">
        <f>IF(Contents!$B$2=2,"th. cubic meters","тыс. куб. м")</f>
        <v>th. cubic meters</v>
      </c>
      <c r="D204" s="221" t="s">
        <v>185</v>
      </c>
      <c r="E204" s="221" t="s">
        <v>185</v>
      </c>
      <c r="F204" s="221" t="s">
        <v>185</v>
      </c>
      <c r="G204" s="221" t="s">
        <v>185</v>
      </c>
      <c r="H204" s="10">
        <v>0</v>
      </c>
      <c r="I204" s="10">
        <v>0</v>
      </c>
      <c r="J204" s="101">
        <v>1026</v>
      </c>
      <c r="K204" s="101">
        <v>663</v>
      </c>
      <c r="L204" s="101">
        <v>574</v>
      </c>
      <c r="M204" s="101">
        <v>630</v>
      </c>
      <c r="N204" s="204">
        <v>450</v>
      </c>
      <c r="O204" s="890"/>
      <c r="P204" s="277" t="str">
        <f>IF(Contents!$B$2=2,"Yes","Да")</f>
        <v>Yes</v>
      </c>
      <c r="Q204" s="511"/>
      <c r="R204" s="273"/>
      <c r="S204" s="273"/>
      <c r="T204" s="273"/>
      <c r="U204" s="613"/>
      <c r="V204" s="273"/>
      <c r="W204" s="277">
        <v>2</v>
      </c>
      <c r="X204" s="308"/>
      <c r="Y204" s="273"/>
      <c r="AA204" s="585"/>
    </row>
    <row r="205" spans="1:27">
      <c r="A205" s="315"/>
      <c r="B205" s="11" t="str">
        <f>IF(Contents!$B$2=2,"Third-party water receivers","Приемники воды сторонних организаций")</f>
        <v>Third-party water receivers</v>
      </c>
      <c r="C205" s="12" t="str">
        <f>IF(Contents!$B$2=2,"th. cubic meters","тыс. куб. м")</f>
        <v>th. cubic meters</v>
      </c>
      <c r="D205" s="221" t="s">
        <v>185</v>
      </c>
      <c r="E205" s="221" t="s">
        <v>185</v>
      </c>
      <c r="F205" s="221" t="s">
        <v>185</v>
      </c>
      <c r="G205" s="221" t="s">
        <v>185</v>
      </c>
      <c r="H205" s="101">
        <v>1</v>
      </c>
      <c r="I205" s="101">
        <v>37</v>
      </c>
      <c r="J205" s="101">
        <v>23</v>
      </c>
      <c r="K205" s="101">
        <v>29</v>
      </c>
      <c r="L205" s="101">
        <v>22</v>
      </c>
      <c r="M205" s="101">
        <v>26</v>
      </c>
      <c r="N205" s="204">
        <v>13</v>
      </c>
      <c r="O205" s="890"/>
      <c r="P205" s="277" t="str">
        <f>IF(Contents!$B$2=2,"Yes","Да")</f>
        <v>Yes</v>
      </c>
      <c r="Q205" s="511"/>
      <c r="R205" s="273"/>
      <c r="S205" s="273"/>
      <c r="T205" s="273"/>
      <c r="U205" s="613"/>
      <c r="V205" s="273"/>
      <c r="W205" s="277">
        <v>2</v>
      </c>
      <c r="X205" s="297"/>
      <c r="Y205" s="273"/>
      <c r="AA205" s="585"/>
    </row>
    <row r="206" spans="1:27">
      <c r="A206" s="315"/>
      <c r="B206" s="11" t="str">
        <f>IF(Contents!$B$2=2,"Gas flaring systems","Газофакельные установки")</f>
        <v>Gas flaring systems</v>
      </c>
      <c r="C206" s="12" t="str">
        <f>IF(Contents!$B$2=2,"th. cubic meters","тыс. куб. м")</f>
        <v>th. cubic meters</v>
      </c>
      <c r="D206" s="221" t="s">
        <v>185</v>
      </c>
      <c r="E206" s="221" t="s">
        <v>185</v>
      </c>
      <c r="F206" s="221" t="s">
        <v>185</v>
      </c>
      <c r="G206" s="221" t="s">
        <v>185</v>
      </c>
      <c r="H206" s="101">
        <v>416</v>
      </c>
      <c r="I206" s="101">
        <v>145</v>
      </c>
      <c r="J206" s="101">
        <v>194</v>
      </c>
      <c r="K206" s="101">
        <v>87</v>
      </c>
      <c r="L206" s="101">
        <v>78</v>
      </c>
      <c r="M206" s="101">
        <v>78</v>
      </c>
      <c r="N206" s="204">
        <v>95</v>
      </c>
      <c r="O206" s="890"/>
      <c r="P206" s="277" t="str">
        <f>IF(Contents!$B$2=2,"Yes","Да")</f>
        <v>Yes</v>
      </c>
      <c r="Q206" s="511"/>
      <c r="R206" s="273"/>
      <c r="S206" s="273"/>
      <c r="T206" s="273"/>
      <c r="U206" s="613"/>
      <c r="V206" s="273"/>
      <c r="W206" s="277">
        <v>2</v>
      </c>
      <c r="X206" s="308"/>
      <c r="Y206" s="273"/>
      <c r="AA206" s="585"/>
    </row>
    <row r="207" spans="1:27">
      <c r="A207" s="315"/>
      <c r="B207" s="11" t="str">
        <f>IF(Contents!$B$2=2,"Water storages","Накопители")</f>
        <v>Water storages</v>
      </c>
      <c r="C207" s="12" t="str">
        <f>IF(Contents!$B$2=2,"th. cubic meters","тыс. куб. м")</f>
        <v>th. cubic meters</v>
      </c>
      <c r="D207" s="221" t="s">
        <v>185</v>
      </c>
      <c r="E207" s="221" t="s">
        <v>185</v>
      </c>
      <c r="F207" s="221" t="s">
        <v>185</v>
      </c>
      <c r="G207" s="221" t="s">
        <v>185</v>
      </c>
      <c r="H207" s="101">
        <v>30</v>
      </c>
      <c r="I207" s="101">
        <v>24</v>
      </c>
      <c r="J207" s="101">
        <v>28</v>
      </c>
      <c r="K207" s="101">
        <v>29</v>
      </c>
      <c r="L207" s="101">
        <v>30</v>
      </c>
      <c r="M207" s="101">
        <v>37</v>
      </c>
      <c r="N207" s="204">
        <v>38</v>
      </c>
      <c r="O207" s="890"/>
      <c r="P207" s="277" t="str">
        <f>IF(Contents!$B$2=2,"Yes","Да")</f>
        <v>Yes</v>
      </c>
      <c r="Q207" s="511"/>
      <c r="R207" s="273"/>
      <c r="S207" s="273"/>
      <c r="T207" s="273"/>
      <c r="U207" s="613"/>
      <c r="V207" s="273"/>
      <c r="W207" s="277">
        <v>2</v>
      </c>
      <c r="X207" s="297"/>
      <c r="Y207" s="273"/>
      <c r="AA207" s="585"/>
    </row>
    <row r="208" spans="1:27">
      <c r="A208" s="315"/>
      <c r="B208" s="23" t="str">
        <f>IF(Contents!$B$2=2,"by segment","по сегментам")</f>
        <v>by segment</v>
      </c>
      <c r="C208" s="13"/>
      <c r="D208" s="298"/>
      <c r="E208" s="298"/>
      <c r="F208" s="298"/>
      <c r="G208" s="298"/>
      <c r="H208" s="298"/>
      <c r="I208" s="298"/>
      <c r="J208" s="316"/>
      <c r="K208" s="316"/>
      <c r="L208" s="316"/>
      <c r="M208" s="316"/>
      <c r="N208" s="316"/>
      <c r="P208" s="277"/>
      <c r="Q208" s="511"/>
      <c r="R208" s="273"/>
      <c r="S208" s="273"/>
      <c r="T208" s="273"/>
      <c r="U208" s="620"/>
      <c r="V208" s="273"/>
      <c r="W208" s="273"/>
      <c r="X208" s="273"/>
      <c r="Y208" s="273"/>
      <c r="AA208" s="585"/>
    </row>
    <row r="209" spans="1:27">
      <c r="A209" s="315"/>
      <c r="B209" s="41" t="str">
        <f>IF(Contents!$B$2=2,"Exploration and production enterprises","Предприятия разведки и добычи")</f>
        <v>Exploration and production enterprises</v>
      </c>
      <c r="C209" s="12" t="str">
        <f>IF(Contents!$B$2=2,"th. cubic meters","тыс. куб. м")</f>
        <v>th. cubic meters</v>
      </c>
      <c r="D209" s="221" t="s">
        <v>185</v>
      </c>
      <c r="E209" s="221" t="s">
        <v>185</v>
      </c>
      <c r="F209" s="221" t="s">
        <v>185</v>
      </c>
      <c r="G209" s="221" t="s">
        <v>185</v>
      </c>
      <c r="H209" s="221" t="s">
        <v>185</v>
      </c>
      <c r="I209" s="221" t="s">
        <v>185</v>
      </c>
      <c r="J209" s="221" t="s">
        <v>185</v>
      </c>
      <c r="K209" s="101">
        <v>908</v>
      </c>
      <c r="L209" s="101">
        <v>923</v>
      </c>
      <c r="M209" s="101">
        <v>1013</v>
      </c>
      <c r="N209" s="204">
        <v>1228</v>
      </c>
      <c r="P209" s="277" t="str">
        <f>IF(Contents!$B$2=2,"Yes","Да")</f>
        <v>Yes</v>
      </c>
      <c r="Q209" s="511"/>
      <c r="R209" s="273"/>
      <c r="S209" s="273"/>
      <c r="T209" s="273"/>
      <c r="U209" s="613"/>
      <c r="V209" s="273"/>
      <c r="W209" s="277">
        <v>2</v>
      </c>
      <c r="X209" s="297"/>
      <c r="Y209" s="273"/>
      <c r="AA209" s="585"/>
    </row>
    <row r="210" spans="1:27">
      <c r="A210" s="315"/>
      <c r="B210" s="41" t="str">
        <f>IF(Contents!$B$2=2,"Refineries","Предприятия переработки")</f>
        <v>Refineries</v>
      </c>
      <c r="C210" s="12" t="str">
        <f>IF(Contents!$B$2=2,"th. cubic meters","тыс. куб. м")</f>
        <v>th. cubic meters</v>
      </c>
      <c r="D210" s="221" t="s">
        <v>185</v>
      </c>
      <c r="E210" s="221" t="s">
        <v>185</v>
      </c>
      <c r="F210" s="221" t="s">
        <v>185</v>
      </c>
      <c r="G210" s="221" t="s">
        <v>185</v>
      </c>
      <c r="H210" s="221" t="s">
        <v>185</v>
      </c>
      <c r="I210" s="221" t="s">
        <v>185</v>
      </c>
      <c r="J210" s="221" t="s">
        <v>185</v>
      </c>
      <c r="K210" s="101">
        <v>353</v>
      </c>
      <c r="L210" s="101">
        <v>236</v>
      </c>
      <c r="M210" s="101">
        <v>331</v>
      </c>
      <c r="N210" s="204">
        <v>124</v>
      </c>
      <c r="P210" s="277" t="str">
        <f>IF(Contents!$B$2=2,"Yes","Да")</f>
        <v>Yes</v>
      </c>
      <c r="Q210" s="511"/>
      <c r="R210" s="273"/>
      <c r="S210" s="273"/>
      <c r="T210" s="273"/>
      <c r="U210" s="613"/>
      <c r="V210" s="273"/>
      <c r="W210" s="277">
        <v>2</v>
      </c>
      <c r="X210" s="297"/>
      <c r="Y210" s="273"/>
      <c r="AA210" s="585"/>
    </row>
    <row r="211" spans="1:27">
      <c r="A211" s="315"/>
      <c r="B211" s="41" t="str">
        <f>IF(Contents!$B$2=2,"Power service enterprises","Предприятия энергосервиса")</f>
        <v>Power service enterprises</v>
      </c>
      <c r="C211" s="12" t="str">
        <f>IF(Contents!$B$2=2,"th. cubic meters","тыс. куб. м")</f>
        <v>th. cubic meters</v>
      </c>
      <c r="D211" s="221" t="s">
        <v>185</v>
      </c>
      <c r="E211" s="221" t="s">
        <v>185</v>
      </c>
      <c r="F211" s="221" t="s">
        <v>185</v>
      </c>
      <c r="G211" s="221" t="s">
        <v>185</v>
      </c>
      <c r="H211" s="221" t="s">
        <v>185</v>
      </c>
      <c r="I211" s="221" t="s">
        <v>185</v>
      </c>
      <c r="J211" s="221" t="s">
        <v>185</v>
      </c>
      <c r="K211" s="101">
        <v>631</v>
      </c>
      <c r="L211" s="101">
        <v>714</v>
      </c>
      <c r="M211" s="101">
        <v>546</v>
      </c>
      <c r="N211" s="204">
        <v>108</v>
      </c>
      <c r="P211" s="277" t="str">
        <f>IF(Contents!$B$2=2,"Yes","Да")</f>
        <v>Yes</v>
      </c>
      <c r="Q211" s="511"/>
      <c r="R211" s="273"/>
      <c r="S211" s="273"/>
      <c r="T211" s="273"/>
      <c r="U211" s="613"/>
      <c r="V211" s="273"/>
      <c r="W211" s="277">
        <v>2</v>
      </c>
      <c r="X211" s="297"/>
      <c r="Y211" s="273"/>
      <c r="AA211" s="585"/>
    </row>
    <row r="212" spans="1:27">
      <c r="A212" s="315"/>
      <c r="B212" s="41" t="str">
        <f>IF(Contents!$B$2=2,"LNG production enterprises","Предприятия производства СПГ")</f>
        <v>LNG production enterprises</v>
      </c>
      <c r="C212" s="12" t="str">
        <f>IF(Contents!$B$2=2,"th. cubic meters","тыс. куб. м")</f>
        <v>th. cubic meters</v>
      </c>
      <c r="D212" s="221" t="s">
        <v>185</v>
      </c>
      <c r="E212" s="221" t="s">
        <v>185</v>
      </c>
      <c r="F212" s="221" t="s">
        <v>185</v>
      </c>
      <c r="G212" s="221" t="s">
        <v>185</v>
      </c>
      <c r="H212" s="221" t="s">
        <v>185</v>
      </c>
      <c r="I212" s="221" t="s">
        <v>185</v>
      </c>
      <c r="J212" s="221" t="s">
        <v>185</v>
      </c>
      <c r="K212" s="101">
        <v>617</v>
      </c>
      <c r="L212" s="101">
        <v>646</v>
      </c>
      <c r="M212" s="101">
        <v>694</v>
      </c>
      <c r="N212" s="204">
        <v>490</v>
      </c>
      <c r="P212" s="277" t="str">
        <f>IF(Contents!$B$2=2,"Yes","Да")</f>
        <v>Yes</v>
      </c>
      <c r="Q212" s="511"/>
      <c r="R212" s="273"/>
      <c r="S212" s="273"/>
      <c r="T212" s="273"/>
      <c r="U212" s="613"/>
      <c r="V212" s="273"/>
      <c r="W212" s="277">
        <v>2</v>
      </c>
      <c r="X212" s="297"/>
      <c r="Y212" s="273"/>
      <c r="AA212" s="585"/>
    </row>
    <row r="213" spans="1:27">
      <c r="A213" s="315"/>
      <c r="B213" s="41"/>
      <c r="C213" s="12"/>
      <c r="D213" s="221"/>
      <c r="E213" s="221"/>
      <c r="F213" s="221"/>
      <c r="G213" s="221"/>
      <c r="H213" s="221"/>
      <c r="I213" s="221"/>
      <c r="J213" s="221"/>
      <c r="K213" s="101"/>
      <c r="L213" s="101"/>
      <c r="M213" s="101"/>
      <c r="N213" s="101"/>
      <c r="P213" s="277"/>
      <c r="Q213" s="511"/>
      <c r="R213" s="273"/>
      <c r="S213" s="273"/>
      <c r="T213" s="273"/>
      <c r="U213" s="613"/>
      <c r="V213" s="273"/>
      <c r="W213" s="277"/>
      <c r="X213" s="297"/>
      <c r="Y213" s="273"/>
      <c r="AA213" s="585"/>
    </row>
    <row r="214" spans="1:27" ht="25.5">
      <c r="A214" s="315"/>
      <c r="B214" s="52" t="str">
        <f>IF(Contents!$B$2=2,"Volume of water discharge in regions with water stress","Объем сброса воды в регионах с дефицитом водных ресурсов")</f>
        <v>Volume of water discharge in regions with water stress</v>
      </c>
      <c r="C214" s="12" t="str">
        <f>IF(Contents!$B$2=2,"th. cubic meters","тыс. куб. м")</f>
        <v>th. cubic meters</v>
      </c>
      <c r="D214" s="10">
        <v>0</v>
      </c>
      <c r="E214" s="10">
        <v>0</v>
      </c>
      <c r="F214" s="10">
        <v>0</v>
      </c>
      <c r="G214" s="10">
        <v>0</v>
      </c>
      <c r="H214" s="10">
        <v>0</v>
      </c>
      <c r="I214" s="10">
        <v>0</v>
      </c>
      <c r="J214" s="10">
        <v>0</v>
      </c>
      <c r="K214" s="10">
        <v>0</v>
      </c>
      <c r="L214" s="10">
        <v>0</v>
      </c>
      <c r="M214" s="10">
        <v>0</v>
      </c>
      <c r="N214" s="548">
        <v>0</v>
      </c>
      <c r="P214" s="277" t="str">
        <f>IF(Contents!$B$2=2,"Yes","Да")</f>
        <v>Yes</v>
      </c>
      <c r="Q214" s="511"/>
      <c r="R214" s="297" t="s">
        <v>105</v>
      </c>
      <c r="S214" s="56"/>
      <c r="T214" s="56"/>
      <c r="U214" s="60"/>
      <c r="V214" s="56"/>
      <c r="W214" s="277">
        <v>2</v>
      </c>
      <c r="X214" s="297"/>
      <c r="Y214" s="56"/>
      <c r="AA214" s="585"/>
    </row>
    <row r="215" spans="1:27">
      <c r="B215" s="301"/>
      <c r="C215" s="301"/>
      <c r="D215" s="301"/>
      <c r="E215" s="301"/>
      <c r="F215" s="301"/>
      <c r="G215" s="301"/>
      <c r="H215" s="301"/>
      <c r="I215" s="301"/>
      <c r="J215" s="301"/>
      <c r="K215" s="301"/>
      <c r="L215" s="301"/>
      <c r="M215" s="301"/>
      <c r="N215" s="301"/>
      <c r="P215" s="273"/>
      <c r="Q215" s="511"/>
      <c r="R215" s="273"/>
      <c r="S215" s="273"/>
      <c r="T215" s="273"/>
      <c r="U215" s="613"/>
      <c r="V215" s="273"/>
      <c r="W215" s="273"/>
      <c r="X215" s="273"/>
      <c r="Y215" s="273"/>
      <c r="AA215" s="585"/>
    </row>
    <row r="216" spans="1:27">
      <c r="A216" s="116"/>
      <c r="B216" s="274" t="str">
        <f>IF(Contents!$B$2=2,"Produced water","Пластовые воды")</f>
        <v>Produced water</v>
      </c>
      <c r="C216" s="42"/>
      <c r="D216" s="247"/>
      <c r="E216" s="247"/>
      <c r="F216" s="247"/>
      <c r="G216" s="247"/>
      <c r="H216" s="247"/>
      <c r="I216" s="275"/>
      <c r="J216" s="275"/>
      <c r="K216" s="275"/>
      <c r="L216" s="275"/>
      <c r="M216" s="275"/>
      <c r="N216" s="275"/>
      <c r="P216" s="277"/>
      <c r="Q216" s="511"/>
      <c r="R216" s="273"/>
      <c r="S216" s="273"/>
      <c r="T216" s="273"/>
      <c r="U216" s="613"/>
      <c r="V216" s="273"/>
      <c r="W216" s="277"/>
      <c r="X216" s="308"/>
      <c r="Y216" s="273"/>
      <c r="AA216" s="585"/>
    </row>
    <row r="217" spans="1:27">
      <c r="A217" s="116"/>
      <c r="B217" s="52" t="str">
        <f>IF(Contents!$B$2=2,"Volume of formation of produced water","Объем образования пластовой воды")</f>
        <v>Volume of formation of produced water</v>
      </c>
      <c r="C217" s="12" t="str">
        <f>IF(Contents!$B$2=2,"th. cubic meters","тыс. куб. м")</f>
        <v>th. cubic meters</v>
      </c>
      <c r="D217" s="221" t="s">
        <v>185</v>
      </c>
      <c r="E217" s="221" t="s">
        <v>185</v>
      </c>
      <c r="F217" s="221" t="s">
        <v>185</v>
      </c>
      <c r="G217" s="221" t="s">
        <v>185</v>
      </c>
      <c r="H217" s="293">
        <v>7562</v>
      </c>
      <c r="I217" s="293">
        <v>7842</v>
      </c>
      <c r="J217" s="293">
        <v>7635</v>
      </c>
      <c r="K217" s="293">
        <v>7579</v>
      </c>
      <c r="L217" s="293">
        <v>7785</v>
      </c>
      <c r="M217" s="293">
        <v>7700</v>
      </c>
      <c r="N217" s="828">
        <v>8135</v>
      </c>
      <c r="O217" s="876"/>
      <c r="P217" s="277" t="str">
        <f>IF(Contents!$B$2=2,"Yes","Да")</f>
        <v>Yes</v>
      </c>
      <c r="Q217" s="511"/>
      <c r="R217" s="297"/>
      <c r="S217" s="297" t="s">
        <v>108</v>
      </c>
      <c r="T217" s="297"/>
      <c r="U217" s="299"/>
      <c r="V217" s="297"/>
      <c r="W217" s="277">
        <v>1</v>
      </c>
      <c r="X217" s="297"/>
      <c r="Y217" s="297"/>
      <c r="Z217" s="617"/>
      <c r="AA217" s="585"/>
    </row>
    <row r="218" spans="1:27">
      <c r="A218" s="116"/>
      <c r="B218" s="23" t="str">
        <f>IF(Contents!$B$2=2,"by source","по источникам образования")</f>
        <v>by source</v>
      </c>
      <c r="C218" s="339"/>
      <c r="D218" s="304"/>
      <c r="E218" s="304"/>
      <c r="F218" s="304"/>
      <c r="G218" s="304"/>
      <c r="H218" s="304"/>
      <c r="I218" s="304"/>
      <c r="J218" s="340"/>
      <c r="K218" s="340"/>
      <c r="L218" s="340"/>
      <c r="M218" s="340"/>
      <c r="N218" s="341"/>
      <c r="P218" s="926"/>
      <c r="Q218" s="511"/>
      <c r="R218" s="297"/>
      <c r="S218" s="297" t="s">
        <v>108</v>
      </c>
      <c r="T218" s="297"/>
      <c r="U218" s="299"/>
      <c r="V218" s="297"/>
      <c r="W218" s="297"/>
      <c r="X218" s="297"/>
      <c r="Y218" s="297"/>
      <c r="Z218" s="617"/>
      <c r="AA218" s="585"/>
    </row>
    <row r="219" spans="1:27">
      <c r="A219" s="116"/>
      <c r="B219" s="11" t="str">
        <f>IF(Contents!$B$2=2,"from production wells","из эксплуатационных скважин")</f>
        <v>from production wells</v>
      </c>
      <c r="C219" s="12" t="str">
        <f>IF(Contents!$B$2=2,"th. cubic meters","тыс. куб. м")</f>
        <v>th. cubic meters</v>
      </c>
      <c r="D219" s="221" t="s">
        <v>185</v>
      </c>
      <c r="E219" s="221" t="s">
        <v>185</v>
      </c>
      <c r="F219" s="221" t="s">
        <v>185</v>
      </c>
      <c r="G219" s="221" t="s">
        <v>185</v>
      </c>
      <c r="H219" s="221" t="s">
        <v>185</v>
      </c>
      <c r="I219" s="221" t="s">
        <v>185</v>
      </c>
      <c r="J219" s="213">
        <v>5582</v>
      </c>
      <c r="K219" s="213">
        <v>5993</v>
      </c>
      <c r="L219" s="213">
        <v>6367</v>
      </c>
      <c r="M219" s="213">
        <v>6702</v>
      </c>
      <c r="N219" s="347">
        <v>6776</v>
      </c>
      <c r="P219" s="277" t="str">
        <f>IF(Contents!$B$2=2,"Yes","Да")</f>
        <v>Yes</v>
      </c>
      <c r="Q219" s="511"/>
      <c r="R219" s="273"/>
      <c r="S219" s="273"/>
      <c r="T219" s="273"/>
      <c r="U219" s="625"/>
      <c r="V219" s="273"/>
      <c r="W219" s="277">
        <v>1</v>
      </c>
      <c r="X219" s="297"/>
      <c r="Y219" s="273"/>
      <c r="AA219" s="585"/>
    </row>
    <row r="220" spans="1:27">
      <c r="A220" s="116"/>
      <c r="B220" s="11" t="str">
        <f>IF(Contents!$B$2=2,"from water wells","из водозаборных скважин")</f>
        <v>from water wells</v>
      </c>
      <c r="C220" s="12" t="str">
        <f>IF(Contents!$B$2=2,"th. cubic meters","тыс. куб. м")</f>
        <v>th. cubic meters</v>
      </c>
      <c r="D220" s="221" t="s">
        <v>185</v>
      </c>
      <c r="E220" s="221" t="s">
        <v>185</v>
      </c>
      <c r="F220" s="221" t="s">
        <v>185</v>
      </c>
      <c r="G220" s="221" t="s">
        <v>185</v>
      </c>
      <c r="H220" s="221" t="s">
        <v>185</v>
      </c>
      <c r="I220" s="221" t="s">
        <v>185</v>
      </c>
      <c r="J220" s="662">
        <v>2053</v>
      </c>
      <c r="K220" s="662">
        <v>1586</v>
      </c>
      <c r="L220" s="662">
        <v>1418</v>
      </c>
      <c r="M220" s="662">
        <v>998</v>
      </c>
      <c r="N220" s="791">
        <v>1359</v>
      </c>
      <c r="P220" s="277" t="str">
        <f>IF(Contents!$B$2=2,"Yes","Да")</f>
        <v>Yes</v>
      </c>
      <c r="Q220" s="511"/>
      <c r="R220" s="273"/>
      <c r="S220" s="273"/>
      <c r="T220" s="273"/>
      <c r="U220" s="625"/>
      <c r="V220" s="273"/>
      <c r="W220" s="277">
        <v>1</v>
      </c>
      <c r="X220" s="297"/>
      <c r="Y220" s="273"/>
      <c r="AA220" s="585"/>
    </row>
    <row r="221" spans="1:27">
      <c r="A221" s="116"/>
      <c r="B221" s="23" t="str">
        <f>IF(Contents!$B$2=2,"by method of treatment","по способам обращения")</f>
        <v>by method of treatment</v>
      </c>
      <c r="C221" s="339"/>
      <c r="D221" s="304"/>
      <c r="E221" s="304"/>
      <c r="F221" s="304"/>
      <c r="G221" s="304"/>
      <c r="H221" s="304"/>
      <c r="I221" s="304"/>
      <c r="J221" s="340"/>
      <c r="K221" s="340"/>
      <c r="L221" s="340"/>
      <c r="M221" s="340"/>
      <c r="N221" s="341"/>
      <c r="P221" s="926"/>
      <c r="Q221" s="511"/>
      <c r="R221" s="297"/>
      <c r="S221" s="297" t="s">
        <v>108</v>
      </c>
      <c r="T221" s="297"/>
      <c r="U221" s="299"/>
      <c r="V221" s="297"/>
      <c r="W221" s="297"/>
      <c r="X221" s="297"/>
      <c r="Y221" s="297"/>
      <c r="Z221" s="617"/>
      <c r="AA221" s="585"/>
    </row>
    <row r="222" spans="1:27" ht="25.5" customHeight="1">
      <c r="B222" s="342" t="str">
        <f>IF(Contents!$B$2=2,"Discharged","Отводимая вода")</f>
        <v>Discharged</v>
      </c>
      <c r="C222" s="12" t="s">
        <v>0</v>
      </c>
      <c r="D222" s="221" t="s">
        <v>185</v>
      </c>
      <c r="E222" s="221" t="s">
        <v>185</v>
      </c>
      <c r="F222" s="221" t="s">
        <v>185</v>
      </c>
      <c r="G222" s="221" t="s">
        <v>185</v>
      </c>
      <c r="H222" s="293">
        <v>24</v>
      </c>
      <c r="I222" s="293">
        <v>29</v>
      </c>
      <c r="J222" s="293">
        <v>37</v>
      </c>
      <c r="K222" s="293">
        <v>37</v>
      </c>
      <c r="L222" s="293">
        <v>37</v>
      </c>
      <c r="M222" s="293">
        <v>39</v>
      </c>
      <c r="N222" s="828">
        <v>32</v>
      </c>
      <c r="O222" s="891"/>
      <c r="P222" s="277" t="str">
        <f>IF(Contents!$B$2=2,"Yes","Да")</f>
        <v>Yes</v>
      </c>
      <c r="Q222" s="511"/>
      <c r="R222" s="273"/>
      <c r="S222" s="273"/>
      <c r="T222" s="273"/>
      <c r="U222" s="626"/>
      <c r="V222" s="273"/>
      <c r="W222" s="277">
        <v>1</v>
      </c>
      <c r="X222" s="297"/>
      <c r="Y222" s="273"/>
      <c r="AA222" s="585"/>
    </row>
    <row r="223" spans="1:27" ht="21.95" customHeight="1">
      <c r="B223" s="11" t="str">
        <f>IF(Contents!$B$2=2,"Reinjected","Повторно закачиваемая вода")</f>
        <v>Reinjected</v>
      </c>
      <c r="C223" s="12" t="s">
        <v>0</v>
      </c>
      <c r="D223" s="221" t="s">
        <v>185</v>
      </c>
      <c r="E223" s="221" t="s">
        <v>185</v>
      </c>
      <c r="F223" s="221" t="s">
        <v>185</v>
      </c>
      <c r="G223" s="221" t="s">
        <v>185</v>
      </c>
      <c r="H223" s="293">
        <v>76</v>
      </c>
      <c r="I223" s="293">
        <v>71</v>
      </c>
      <c r="J223" s="293">
        <v>63</v>
      </c>
      <c r="K223" s="293">
        <v>63</v>
      </c>
      <c r="L223" s="293">
        <v>63</v>
      </c>
      <c r="M223" s="293">
        <v>61</v>
      </c>
      <c r="N223" s="828">
        <v>68</v>
      </c>
      <c r="O223" s="891"/>
      <c r="P223" s="277" t="str">
        <f>IF(Contents!$B$2=2,"Yes","Да")</f>
        <v>Yes</v>
      </c>
      <c r="Q223" s="511"/>
      <c r="R223" s="273"/>
      <c r="S223" s="273"/>
      <c r="T223" s="273"/>
      <c r="U223" s="626"/>
      <c r="V223" s="273"/>
      <c r="W223" s="277">
        <v>1</v>
      </c>
      <c r="X223" s="297"/>
      <c r="Y223" s="273"/>
      <c r="AA223" s="585"/>
    </row>
    <row r="224" spans="1:27">
      <c r="B224" s="11" t="str">
        <f>IF(Contents!$B$2=2,"Reused","Повторно используемая вода")</f>
        <v>Reused</v>
      </c>
      <c r="C224" s="12" t="s">
        <v>0</v>
      </c>
      <c r="D224" s="221" t="s">
        <v>185</v>
      </c>
      <c r="E224" s="221" t="s">
        <v>185</v>
      </c>
      <c r="F224" s="221" t="s">
        <v>185</v>
      </c>
      <c r="G224" s="221" t="s">
        <v>185</v>
      </c>
      <c r="H224" s="343">
        <v>0</v>
      </c>
      <c r="I224" s="343">
        <v>0</v>
      </c>
      <c r="J224" s="191">
        <v>0</v>
      </c>
      <c r="K224" s="191">
        <v>0</v>
      </c>
      <c r="L224" s="191">
        <v>0</v>
      </c>
      <c r="M224" s="191">
        <v>0</v>
      </c>
      <c r="N224" s="279">
        <v>0</v>
      </c>
      <c r="P224" s="277" t="str">
        <f>IF(Contents!$B$2=2,"Yes","Да")</f>
        <v>Yes</v>
      </c>
      <c r="Q224" s="511"/>
      <c r="R224" s="273"/>
      <c r="S224" s="273"/>
      <c r="T224" s="273"/>
      <c r="U224" s="626"/>
      <c r="V224" s="273"/>
      <c r="W224" s="277">
        <v>1</v>
      </c>
      <c r="X224" s="297"/>
      <c r="Y224" s="273"/>
      <c r="AA224" s="585"/>
    </row>
    <row r="225" spans="1:27">
      <c r="A225" s="116"/>
      <c r="B225" s="342" t="str">
        <f>IF(Contents!$B$2=2,"Produced water used in the reservoir pressure maintenance system","Пластовая вода, используемая для поддержания пластового давления")</f>
        <v>Produced water used in the reservoir pressure maintenance system</v>
      </c>
      <c r="C225" s="12" t="str">
        <f>IF(Contents!$B$2=2,"th. cubic meters","тыс. куб. м")</f>
        <v>th. cubic meters</v>
      </c>
      <c r="D225" s="221" t="s">
        <v>185</v>
      </c>
      <c r="E225" s="221" t="s">
        <v>185</v>
      </c>
      <c r="F225" s="221" t="s">
        <v>185</v>
      </c>
      <c r="G225" s="221" t="s">
        <v>185</v>
      </c>
      <c r="H225" s="667">
        <v>5716</v>
      </c>
      <c r="I225" s="667">
        <v>5538</v>
      </c>
      <c r="J225" s="667">
        <v>4827</v>
      </c>
      <c r="K225" s="667">
        <v>4777</v>
      </c>
      <c r="L225" s="667">
        <v>4905</v>
      </c>
      <c r="M225" s="667">
        <v>4684</v>
      </c>
      <c r="N225" s="668">
        <v>5511</v>
      </c>
      <c r="O225" s="876"/>
      <c r="P225" s="277" t="str">
        <f>IF(Contents!$B$2=2,"Yes","Да")</f>
        <v>Yes</v>
      </c>
      <c r="Q225" s="511"/>
      <c r="R225" s="297"/>
      <c r="S225" s="297"/>
      <c r="T225" s="297"/>
      <c r="U225" s="299"/>
      <c r="V225" s="297"/>
      <c r="W225" s="277">
        <v>1</v>
      </c>
      <c r="X225" s="297"/>
      <c r="Y225" s="297"/>
      <c r="Z225" s="617"/>
      <c r="AA225" s="585"/>
    </row>
    <row r="226" spans="1:27">
      <c r="B226" s="344"/>
      <c r="C226" s="12"/>
      <c r="D226" s="221"/>
      <c r="E226" s="221"/>
      <c r="F226" s="221"/>
      <c r="G226" s="221"/>
      <c r="H226" s="62"/>
      <c r="I226" s="62"/>
      <c r="J226" s="62"/>
      <c r="K226" s="62"/>
      <c r="L226" s="62"/>
      <c r="M226" s="62"/>
      <c r="N226" s="62"/>
      <c r="AA226" s="585"/>
    </row>
    <row r="227" spans="1:27" ht="20.100000000000001" customHeight="1">
      <c r="B227" s="345" t="str">
        <f>IF(Contents!$B$2=2,"Biodiversity conservation","Сохранение биоразнообразия")</f>
        <v>Biodiversity conservation</v>
      </c>
      <c r="C227" s="272"/>
      <c r="D227" s="272"/>
      <c r="E227" s="272"/>
      <c r="F227" s="272"/>
      <c r="G227" s="272"/>
      <c r="H227" s="272"/>
      <c r="I227" s="272"/>
      <c r="J227" s="272"/>
      <c r="K227" s="272"/>
      <c r="L227" s="272"/>
      <c r="M227" s="272"/>
      <c r="N227" s="272"/>
      <c r="R227" s="273"/>
      <c r="S227" s="273"/>
      <c r="T227" s="273"/>
      <c r="AA227" s="585"/>
    </row>
    <row r="228" spans="1:27" ht="75.95" customHeight="1">
      <c r="B228" s="291" t="str">
        <f>IF(Contents!$B$2=2,"number of IUCN Red List species and the National List of Protected Species with habitats in areas, affected by the activities of the organization","Количество видов, занесенных в красный список МСОП и национальный список охраняемых видов, местообитания которых находятся на территории,  находящейся под влиянием деятельности организации")</f>
        <v>number of IUCN Red List species and the National List of Protected Species with habitats in areas, affected by the activities of the organization</v>
      </c>
      <c r="C228" s="327" t="str">
        <f>IF(Contents!$B$2=2,"species","вид")</f>
        <v>species</v>
      </c>
      <c r="D228" s="329" t="s">
        <v>185</v>
      </c>
      <c r="E228" s="329" t="s">
        <v>185</v>
      </c>
      <c r="F228" s="329" t="s">
        <v>185</v>
      </c>
      <c r="G228" s="329" t="s">
        <v>185</v>
      </c>
      <c r="H228" s="329" t="s">
        <v>185</v>
      </c>
      <c r="I228" s="329" t="s">
        <v>185</v>
      </c>
      <c r="J228" s="329" t="s">
        <v>185</v>
      </c>
      <c r="K228" s="247">
        <v>100</v>
      </c>
      <c r="L228" s="247">
        <v>174</v>
      </c>
      <c r="M228" s="247">
        <v>93</v>
      </c>
      <c r="N228" s="247">
        <v>99</v>
      </c>
      <c r="O228" s="869"/>
      <c r="P228" s="277" t="str">
        <f>IF(Contents!$B$2=2,"Yes","Да")</f>
        <v>Yes</v>
      </c>
      <c r="Q228" s="511"/>
      <c r="R228" s="346" t="s">
        <v>109</v>
      </c>
      <c r="S228" s="273"/>
      <c r="T228" s="273"/>
      <c r="U228" s="273"/>
      <c r="V228" s="273"/>
      <c r="W228" s="277">
        <v>1</v>
      </c>
      <c r="X228" s="297"/>
      <c r="Y228" s="273"/>
      <c r="AA228" s="585"/>
    </row>
    <row r="229" spans="1:27">
      <c r="A229" s="116"/>
      <c r="B229" s="23" t="str">
        <f>IF(Contents!$B$2=2,"by vulnerability of species","по уязвимости видов")</f>
        <v>by vulnerability of species</v>
      </c>
      <c r="C229" s="339"/>
      <c r="D229" s="304"/>
      <c r="E229" s="304"/>
      <c r="F229" s="304"/>
      <c r="G229" s="304"/>
      <c r="H229" s="304"/>
      <c r="I229" s="304"/>
      <c r="J229" s="340"/>
      <c r="K229" s="340"/>
      <c r="L229" s="340"/>
      <c r="M229" s="340"/>
      <c r="N229" s="341"/>
      <c r="P229" s="926"/>
      <c r="Q229" s="511"/>
      <c r="R229" s="297"/>
      <c r="S229" s="297"/>
      <c r="T229" s="297"/>
      <c r="U229" s="299"/>
      <c r="V229" s="297"/>
      <c r="W229" s="297"/>
      <c r="X229" s="297"/>
      <c r="Y229" s="297"/>
      <c r="Z229" s="617"/>
      <c r="AA229" s="585"/>
    </row>
    <row r="230" spans="1:27" ht="18" customHeight="1">
      <c r="B230" s="342" t="s">
        <v>197</v>
      </c>
      <c r="C230" s="76" t="str">
        <f>IF(Contents!$B$2=2,"species","вид")</f>
        <v>species</v>
      </c>
      <c r="D230" s="221" t="s">
        <v>185</v>
      </c>
      <c r="E230" s="221" t="s">
        <v>185</v>
      </c>
      <c r="F230" s="221" t="s">
        <v>185</v>
      </c>
      <c r="G230" s="221" t="s">
        <v>185</v>
      </c>
      <c r="H230" s="221" t="s">
        <v>185</v>
      </c>
      <c r="I230" s="221" t="s">
        <v>185</v>
      </c>
      <c r="J230" s="221" t="s">
        <v>185</v>
      </c>
      <c r="K230" s="213">
        <v>0</v>
      </c>
      <c r="L230" s="213">
        <v>0</v>
      </c>
      <c r="M230" s="213">
        <v>0</v>
      </c>
      <c r="N230" s="347">
        <v>2</v>
      </c>
      <c r="O230" s="879"/>
      <c r="P230" s="277"/>
      <c r="Q230" s="511"/>
      <c r="R230" s="348"/>
      <c r="S230" s="273"/>
      <c r="T230" s="273"/>
      <c r="U230" s="273"/>
      <c r="V230" s="297"/>
      <c r="W230" s="277">
        <v>1</v>
      </c>
      <c r="X230" s="297"/>
      <c r="Y230" s="297"/>
      <c r="AA230" s="585"/>
    </row>
    <row r="231" spans="1:27" ht="24" customHeight="1">
      <c r="B231" s="342" t="str">
        <f>IF(Contents!$B$2=2,"Vulnerable","Уязвимые")</f>
        <v>Vulnerable</v>
      </c>
      <c r="C231" s="76" t="str">
        <f>IF(Contents!$B$2=2,"species","вид")</f>
        <v>species</v>
      </c>
      <c r="D231" s="221" t="s">
        <v>185</v>
      </c>
      <c r="E231" s="221" t="s">
        <v>185</v>
      </c>
      <c r="F231" s="221" t="s">
        <v>185</v>
      </c>
      <c r="G231" s="221" t="s">
        <v>185</v>
      </c>
      <c r="H231" s="221" t="s">
        <v>185</v>
      </c>
      <c r="I231" s="221" t="s">
        <v>185</v>
      </c>
      <c r="J231" s="221" t="s">
        <v>185</v>
      </c>
      <c r="K231" s="213">
        <v>5</v>
      </c>
      <c r="L231" s="213">
        <v>4</v>
      </c>
      <c r="M231" s="213">
        <v>5</v>
      </c>
      <c r="N231" s="347">
        <v>3</v>
      </c>
      <c r="O231" s="879"/>
      <c r="P231" s="277" t="str">
        <f>IF(Contents!$B$2=2,"Yes","Да")</f>
        <v>Yes</v>
      </c>
      <c r="Q231" s="511"/>
      <c r="R231" s="348"/>
      <c r="S231" s="273"/>
      <c r="T231" s="273"/>
      <c r="U231" s="273"/>
      <c r="V231" s="297"/>
      <c r="W231" s="277">
        <v>1</v>
      </c>
      <c r="X231" s="297"/>
      <c r="Y231" s="297"/>
      <c r="AA231" s="585"/>
    </row>
    <row r="232" spans="1:27" ht="27" customHeight="1">
      <c r="B232" s="11" t="str">
        <f>IF(Contents!$B$2=2,"Near Threatened","Близки к уязвимому положению")</f>
        <v>Near Threatened</v>
      </c>
      <c r="C232" s="76" t="str">
        <f>IF(Contents!$B$2=2,"species","вид")</f>
        <v>species</v>
      </c>
      <c r="D232" s="221" t="s">
        <v>185</v>
      </c>
      <c r="E232" s="221" t="s">
        <v>185</v>
      </c>
      <c r="F232" s="221" t="s">
        <v>185</v>
      </c>
      <c r="G232" s="221" t="s">
        <v>185</v>
      </c>
      <c r="H232" s="221" t="s">
        <v>185</v>
      </c>
      <c r="I232" s="221" t="s">
        <v>185</v>
      </c>
      <c r="J232" s="221" t="s">
        <v>185</v>
      </c>
      <c r="K232" s="213">
        <v>5</v>
      </c>
      <c r="L232" s="213">
        <v>5</v>
      </c>
      <c r="M232" s="213">
        <v>2</v>
      </c>
      <c r="N232" s="347">
        <v>3</v>
      </c>
      <c r="O232" s="879"/>
      <c r="P232" s="277" t="str">
        <f>IF(Contents!$B$2=2,"Yes","Да")</f>
        <v>Yes</v>
      </c>
      <c r="Q232" s="511"/>
      <c r="R232" s="348"/>
      <c r="S232" s="273"/>
      <c r="T232" s="273"/>
      <c r="U232" s="273"/>
      <c r="V232" s="297"/>
      <c r="W232" s="277">
        <v>1</v>
      </c>
      <c r="X232" s="297"/>
      <c r="Y232" s="297"/>
      <c r="AA232" s="585"/>
    </row>
    <row r="233" spans="1:27" ht="26.1" customHeight="1">
      <c r="B233" s="11" t="str">
        <f>IF(Contents!$B$2=2,"Least concern","Находящиеся под наименьшей угрозой")</f>
        <v>Least concern</v>
      </c>
      <c r="C233" s="76" t="str">
        <f>IF(Contents!$B$2=2,"species","вид")</f>
        <v>species</v>
      </c>
      <c r="D233" s="221" t="s">
        <v>185</v>
      </c>
      <c r="E233" s="221" t="s">
        <v>185</v>
      </c>
      <c r="F233" s="221" t="s">
        <v>185</v>
      </c>
      <c r="G233" s="221" t="s">
        <v>185</v>
      </c>
      <c r="H233" s="221" t="s">
        <v>185</v>
      </c>
      <c r="I233" s="221" t="s">
        <v>185</v>
      </c>
      <c r="J233" s="221" t="s">
        <v>185</v>
      </c>
      <c r="K233" s="213">
        <v>90</v>
      </c>
      <c r="L233" s="213">
        <v>165</v>
      </c>
      <c r="M233" s="213">
        <v>86</v>
      </c>
      <c r="N233" s="347">
        <v>91</v>
      </c>
      <c r="O233" s="879"/>
      <c r="P233" s="277" t="str">
        <f>IF(Contents!$B$2=2,"Yes","Да")</f>
        <v>Yes</v>
      </c>
      <c r="Q233" s="511"/>
      <c r="R233" s="348"/>
      <c r="S233" s="273"/>
      <c r="T233" s="273"/>
      <c r="U233" s="273"/>
      <c r="V233" s="297"/>
      <c r="W233" s="277">
        <v>1</v>
      </c>
      <c r="X233" s="297"/>
      <c r="Y233" s="297"/>
      <c r="AA233" s="585"/>
    </row>
    <row r="234" spans="1:27">
      <c r="B234" s="11"/>
      <c r="C234" s="76"/>
      <c r="D234" s="221"/>
      <c r="E234" s="221"/>
      <c r="F234" s="221"/>
      <c r="G234" s="221"/>
      <c r="H234" s="221"/>
      <c r="I234" s="221"/>
      <c r="J234" s="221"/>
      <c r="K234" s="213"/>
      <c r="L234" s="213"/>
      <c r="M234" s="213"/>
      <c r="N234" s="213"/>
      <c r="P234" s="926"/>
      <c r="R234" s="348"/>
      <c r="S234" s="273"/>
      <c r="T234" s="273"/>
      <c r="U234" s="273"/>
      <c r="V234" s="297"/>
      <c r="W234" s="297"/>
      <c r="X234" s="297"/>
      <c r="Y234" s="297"/>
      <c r="AA234" s="585"/>
    </row>
    <row r="235" spans="1:27">
      <c r="A235" s="116"/>
      <c r="B235" s="274" t="str">
        <f>IF(Contents!$B$2=2,"Compensation activities","Компенсационные мероприятия")</f>
        <v>Compensation activities</v>
      </c>
      <c r="C235" s="42"/>
      <c r="D235" s="247"/>
      <c r="E235" s="247"/>
      <c r="F235" s="247"/>
      <c r="G235" s="247"/>
      <c r="H235" s="247"/>
      <c r="I235" s="275"/>
      <c r="J235" s="275"/>
      <c r="K235" s="275"/>
      <c r="L235" s="275"/>
      <c r="M235" s="275"/>
      <c r="N235" s="275"/>
      <c r="P235" s="273"/>
      <c r="R235" s="273"/>
      <c r="S235" s="273"/>
      <c r="T235" s="273"/>
      <c r="U235" s="613"/>
      <c r="V235" s="273"/>
      <c r="W235" s="273"/>
      <c r="X235" s="273"/>
      <c r="Y235" s="273"/>
      <c r="AA235" s="585"/>
    </row>
    <row r="236" spans="1:27" ht="38.25">
      <c r="B236" s="342" t="str">
        <f>IF(Contents!$B$2=2,"Compensatory reforestation","Компенсационное лесовосстановление")</f>
        <v>Compensatory reforestation</v>
      </c>
      <c r="C236" s="76" t="str">
        <f>IF(Contents!$B$2=2,"ha","га")</f>
        <v>ha</v>
      </c>
      <c r="D236" s="10" t="s">
        <v>185</v>
      </c>
      <c r="E236" s="10" t="s">
        <v>185</v>
      </c>
      <c r="F236" s="10" t="s">
        <v>185</v>
      </c>
      <c r="G236" s="10" t="s">
        <v>185</v>
      </c>
      <c r="H236" s="10" t="s">
        <v>185</v>
      </c>
      <c r="I236" s="349">
        <v>120</v>
      </c>
      <c r="J236" s="213">
        <v>604</v>
      </c>
      <c r="K236" s="213">
        <v>66</v>
      </c>
      <c r="L236" s="213">
        <v>46</v>
      </c>
      <c r="M236" s="213">
        <v>293</v>
      </c>
      <c r="N236" s="347">
        <v>49</v>
      </c>
      <c r="O236" s="889"/>
      <c r="P236" s="277" t="str">
        <f>IF(Contents!$B$2=2,"Yes","Да")</f>
        <v>Yes</v>
      </c>
      <c r="Q236" s="511"/>
      <c r="R236" s="346" t="s">
        <v>110</v>
      </c>
      <c r="S236" s="273"/>
      <c r="T236" s="273"/>
      <c r="U236" s="273"/>
      <c r="V236" s="297"/>
      <c r="W236" s="277">
        <v>2</v>
      </c>
      <c r="X236" s="308"/>
      <c r="Y236" s="297"/>
      <c r="AA236" s="585"/>
    </row>
    <row r="237" spans="1:27" ht="29.45" customHeight="1">
      <c r="B237" s="11" t="str">
        <f>IF(Contents!$B$2=2,"Release of juvenile fish","Выпуск мальков")</f>
        <v>Release of juvenile fish</v>
      </c>
      <c r="C237" s="12" t="str">
        <f>IF(Contents!$B$2=2,"mln","млн ед.")</f>
        <v>mln</v>
      </c>
      <c r="D237" s="10" t="s">
        <v>185</v>
      </c>
      <c r="E237" s="10" t="s">
        <v>185</v>
      </c>
      <c r="F237" s="508">
        <v>18</v>
      </c>
      <c r="G237" s="508">
        <v>5</v>
      </c>
      <c r="H237" s="508">
        <v>9</v>
      </c>
      <c r="I237" s="67">
        <v>3</v>
      </c>
      <c r="J237" s="508">
        <v>11</v>
      </c>
      <c r="K237" s="508">
        <v>4</v>
      </c>
      <c r="L237" s="508">
        <v>4.9000000000000004</v>
      </c>
      <c r="M237" s="508">
        <v>5</v>
      </c>
      <c r="N237" s="792">
        <v>2.4</v>
      </c>
      <c r="O237" s="879"/>
      <c r="P237" s="277"/>
      <c r="Q237" s="511"/>
      <c r="R237" s="346"/>
      <c r="S237" s="273"/>
      <c r="T237" s="273"/>
      <c r="U237" s="273"/>
      <c r="V237" s="297"/>
      <c r="W237" s="277">
        <v>1</v>
      </c>
      <c r="X237" s="308"/>
      <c r="Y237" s="297"/>
      <c r="AA237" s="585"/>
    </row>
    <row r="238" spans="1:27">
      <c r="B238" s="350"/>
      <c r="C238" s="12"/>
      <c r="D238" s="58"/>
      <c r="E238" s="58"/>
      <c r="F238" s="58"/>
      <c r="G238" s="58"/>
      <c r="H238" s="58"/>
      <c r="I238" s="58"/>
      <c r="J238" s="58"/>
      <c r="K238" s="58"/>
      <c r="L238" s="58"/>
      <c r="M238" s="58"/>
      <c r="N238" s="58"/>
      <c r="P238" s="56"/>
      <c r="R238" s="56"/>
      <c r="S238" s="56"/>
      <c r="T238" s="56"/>
      <c r="U238" s="60"/>
      <c r="V238" s="56"/>
      <c r="W238" s="56"/>
      <c r="X238" s="56"/>
      <c r="Y238" s="56"/>
      <c r="AA238" s="585"/>
    </row>
    <row r="239" spans="1:27" ht="20.100000000000001" customHeight="1">
      <c r="B239" s="345" t="str">
        <f>IF(Contents!$B$2=2,"Land use and reclamation","Использование и рекультивация земель")</f>
        <v>Land use and reclamation</v>
      </c>
      <c r="C239" s="272"/>
      <c r="D239" s="272"/>
      <c r="E239" s="272"/>
      <c r="F239" s="272"/>
      <c r="G239" s="272"/>
      <c r="H239" s="272"/>
      <c r="I239" s="272"/>
      <c r="J239" s="272"/>
      <c r="K239" s="272"/>
      <c r="L239" s="272"/>
      <c r="M239" s="272"/>
      <c r="N239" s="272"/>
      <c r="R239" s="273"/>
      <c r="S239" s="273"/>
      <c r="T239" s="273"/>
      <c r="AA239" s="585"/>
    </row>
    <row r="240" spans="1:27" ht="21.6" customHeight="1">
      <c r="A240" s="116"/>
      <c r="B240" s="350" t="str">
        <f>IF(Contents!$B$2=2,"Area of disturbed land at the beginning of the year","Площадь нарушенных земель за год")</f>
        <v>Area of disturbed land at the beginning of the year</v>
      </c>
      <c r="C240" s="76" t="str">
        <f>IF(Contents!$B$2=2,"ha","га")</f>
        <v>ha</v>
      </c>
      <c r="D240" s="10" t="s">
        <v>185</v>
      </c>
      <c r="E240" s="10" t="s">
        <v>185</v>
      </c>
      <c r="F240" s="10" t="s">
        <v>185</v>
      </c>
      <c r="G240" s="10" t="s">
        <v>185</v>
      </c>
      <c r="H240" s="10" t="s">
        <v>185</v>
      </c>
      <c r="I240" s="10" t="s">
        <v>185</v>
      </c>
      <c r="J240" s="10" t="s">
        <v>185</v>
      </c>
      <c r="K240" s="10" t="s">
        <v>185</v>
      </c>
      <c r="L240" s="213">
        <v>943</v>
      </c>
      <c r="M240" s="213" t="s">
        <v>229</v>
      </c>
      <c r="N240" s="347">
        <v>536</v>
      </c>
      <c r="O240" s="875"/>
      <c r="P240" s="277" t="str">
        <f>IF(Contents!$B$2=2,"Yes","Да")</f>
        <v>Yes</v>
      </c>
      <c r="Q240" s="511"/>
      <c r="R240" s="346" t="s">
        <v>230</v>
      </c>
      <c r="S240" s="273"/>
      <c r="T240" s="273"/>
      <c r="U240" s="273"/>
      <c r="V240" s="273"/>
      <c r="W240" s="277">
        <v>2</v>
      </c>
      <c r="X240" s="297"/>
      <c r="Y240" s="273"/>
      <c r="AA240" s="585"/>
    </row>
    <row r="241" spans="1:27" ht="23.45" customHeight="1">
      <c r="A241" s="116"/>
      <c r="B241" s="350" t="str">
        <f>IF(Contents!$B$2=2,"Area of disturbed land per year","Площадь нарушенных земель на конец года")</f>
        <v>Area of disturbed land per year</v>
      </c>
      <c r="C241" s="76" t="str">
        <f>IF(Contents!$B$2=2,"ha","га")</f>
        <v>ha</v>
      </c>
      <c r="D241" s="10" t="s">
        <v>185</v>
      </c>
      <c r="E241" s="10" t="s">
        <v>185</v>
      </c>
      <c r="F241" s="10" t="s">
        <v>185</v>
      </c>
      <c r="G241" s="10" t="s">
        <v>185</v>
      </c>
      <c r="H241" s="10" t="s">
        <v>185</v>
      </c>
      <c r="I241" s="10" t="s">
        <v>185</v>
      </c>
      <c r="J241" s="10" t="s">
        <v>185</v>
      </c>
      <c r="K241" s="213">
        <v>35448</v>
      </c>
      <c r="L241" s="213">
        <v>32527</v>
      </c>
      <c r="M241" s="213">
        <v>33057</v>
      </c>
      <c r="N241" s="347">
        <v>33995</v>
      </c>
      <c r="O241" s="875"/>
      <c r="P241" s="277" t="str">
        <f>IF(Contents!$B$2=2,"Yes","Да")</f>
        <v>Yes</v>
      </c>
      <c r="Q241" s="511"/>
      <c r="R241" s="346" t="s">
        <v>111</v>
      </c>
      <c r="S241" s="273"/>
      <c r="T241" s="273"/>
      <c r="U241" s="273"/>
      <c r="V241" s="273"/>
      <c r="W241" s="277">
        <v>2</v>
      </c>
      <c r="X241" s="297"/>
      <c r="Y241" s="273"/>
      <c r="AA241" s="585"/>
    </row>
    <row r="242" spans="1:27" ht="20.100000000000001" customHeight="1">
      <c r="A242" s="116"/>
      <c r="B242" s="350" t="str">
        <f>IF(Contents!$B$2=2,"Area of reclaimed land for the reporting year","Площадь рекультивированных земель за отчетный год")</f>
        <v>Area of reclaimed land for the reporting year</v>
      </c>
      <c r="C242" s="76" t="str">
        <f>IF(Contents!$B$2=2,"ha","га")</f>
        <v>ha</v>
      </c>
      <c r="D242" s="10" t="s">
        <v>185</v>
      </c>
      <c r="E242" s="10" t="s">
        <v>185</v>
      </c>
      <c r="F242" s="10" t="s">
        <v>185</v>
      </c>
      <c r="G242" s="10" t="s">
        <v>185</v>
      </c>
      <c r="H242" s="10" t="s">
        <v>185</v>
      </c>
      <c r="I242" s="10" t="s">
        <v>185</v>
      </c>
      <c r="J242" s="10" t="s">
        <v>185</v>
      </c>
      <c r="K242" s="213">
        <v>137</v>
      </c>
      <c r="L242" s="213">
        <v>404</v>
      </c>
      <c r="M242" s="213">
        <v>188</v>
      </c>
      <c r="N242" s="347">
        <v>204</v>
      </c>
      <c r="O242" s="872"/>
      <c r="P242" s="277" t="str">
        <f>IF(Contents!$B$2=2,"Yes","Да")</f>
        <v>Yes</v>
      </c>
      <c r="Q242" s="511"/>
      <c r="R242" s="346" t="s">
        <v>111</v>
      </c>
      <c r="S242" s="273"/>
      <c r="T242" s="273"/>
      <c r="U242" s="273"/>
      <c r="V242" s="273"/>
      <c r="W242" s="277">
        <v>2</v>
      </c>
      <c r="X242" s="308"/>
      <c r="Y242" s="273"/>
      <c r="AA242" s="585"/>
    </row>
    <row r="243" spans="1:27">
      <c r="A243" s="116"/>
      <c r="B243" s="350"/>
      <c r="C243" s="76"/>
      <c r="D243" s="10"/>
      <c r="E243" s="10"/>
      <c r="F243" s="10"/>
      <c r="G243" s="10"/>
      <c r="H243" s="10"/>
      <c r="I243" s="10"/>
      <c r="J243" s="10"/>
      <c r="K243" s="213"/>
      <c r="L243" s="213"/>
      <c r="M243" s="213"/>
      <c r="N243" s="213"/>
      <c r="P243" s="277"/>
      <c r="Q243" s="511"/>
      <c r="R243" s="346"/>
      <c r="S243" s="273"/>
      <c r="T243" s="273"/>
      <c r="U243" s="273"/>
      <c r="V243" s="273"/>
      <c r="W243" s="277"/>
      <c r="X243" s="308"/>
      <c r="Y243" s="273"/>
      <c r="AA243" s="585"/>
    </row>
    <row r="244" spans="1:27">
      <c r="A244" s="116"/>
      <c r="B244" s="859" t="str">
        <f>IF(Contents!$B$2=2,R246,"В Отчете за 2025 год произведен пересчет площади нарушенных и рекультивированных земель на территориях предприятий Компании за 2023, 2024 гг. Расширены границы показателей, добавлены земли, находящиеся в аренде. ")</f>
        <v>The 2025 Report recalculates the area of ​​disturbed and reclaimed land on the Company's enterprise sites for 2023 and 2024. The indicator boundaries have been expanded, and leased land has been added.</v>
      </c>
      <c r="C244" s="352"/>
      <c r="D244" s="352"/>
      <c r="E244" s="352"/>
      <c r="F244" s="352"/>
      <c r="G244" s="352"/>
      <c r="H244" s="353"/>
      <c r="I244" s="352"/>
      <c r="J244" s="352"/>
      <c r="K244" s="352"/>
      <c r="L244" s="352"/>
      <c r="M244" s="352"/>
      <c r="N244" s="352"/>
      <c r="O244" s="352"/>
      <c r="P244" s="627"/>
      <c r="Q244" s="352"/>
      <c r="R244" s="627"/>
      <c r="S244" s="627"/>
      <c r="T244" s="628"/>
      <c r="U244" s="627"/>
      <c r="V244" s="627"/>
      <c r="W244" s="627"/>
      <c r="X244" s="627"/>
      <c r="Y244" s="627"/>
      <c r="Z244" s="605"/>
      <c r="AA244" s="585"/>
    </row>
    <row r="245" spans="1:27">
      <c r="A245" s="116"/>
      <c r="C245" s="253"/>
      <c r="H245" s="255"/>
      <c r="I245" s="253"/>
      <c r="T245" s="607"/>
      <c r="U245" s="606"/>
      <c r="V245" s="56"/>
      <c r="W245" s="56"/>
      <c r="X245" s="598"/>
      <c r="AA245" s="585"/>
    </row>
    <row r="246" spans="1:27">
      <c r="A246" s="354"/>
      <c r="B246" s="141" t="str">
        <f>IF(Contents!$B$2=2,"For more information, see the Sustainable Development Reports for 2020-2025 (the Environment chapter).","Для получения дополнительной информации см. Отчеты об устойчивом развитии за 2020-2025 гг. (глава «Окружающая среда»).")</f>
        <v>For more information, see the Sustainable Development Reports for 2020-2025 (the Environment chapter).</v>
      </c>
      <c r="C246" s="253"/>
      <c r="H246" s="255"/>
      <c r="I246" s="253"/>
      <c r="N246" s="672"/>
      <c r="R246" s="858" t="s">
        <v>231</v>
      </c>
      <c r="T246" s="607"/>
      <c r="U246" s="606"/>
      <c r="V246" s="56"/>
      <c r="W246" s="56"/>
      <c r="X246" s="598"/>
      <c r="AA246" s="585"/>
    </row>
    <row r="247" spans="1:27">
      <c r="AA247" s="585"/>
    </row>
    <row r="248" spans="1:27">
      <c r="AA248" s="585"/>
    </row>
    <row r="249" spans="1:27">
      <c r="AA249" s="585"/>
    </row>
    <row r="250" spans="1:27">
      <c r="B250" s="355"/>
      <c r="AA250" s="585"/>
    </row>
    <row r="251" spans="1:27">
      <c r="B251" s="355" t="s">
        <v>112</v>
      </c>
      <c r="AA251" s="585"/>
    </row>
    <row r="252" spans="1:27">
      <c r="B252" s="355" t="s">
        <v>113</v>
      </c>
      <c r="AA252" s="585"/>
    </row>
    <row r="253" spans="1:27">
      <c r="A253" s="43"/>
      <c r="B253" s="355"/>
      <c r="C253" s="43"/>
      <c r="D253" s="43"/>
      <c r="E253" s="43"/>
      <c r="F253" s="43"/>
      <c r="G253" s="43"/>
      <c r="H253" s="43"/>
      <c r="I253" s="43"/>
      <c r="J253" s="43"/>
      <c r="K253" s="43"/>
      <c r="L253" s="43"/>
      <c r="M253" s="43"/>
      <c r="N253" s="43"/>
      <c r="O253" s="43"/>
      <c r="Q253" s="43"/>
      <c r="U253" s="606"/>
      <c r="AA253" s="585"/>
    </row>
    <row r="254" spans="1:27">
      <c r="A254" s="43"/>
      <c r="B254" s="355" t="s">
        <v>114</v>
      </c>
      <c r="C254" s="43"/>
      <c r="D254" s="43"/>
      <c r="E254" s="43"/>
      <c r="F254" s="43"/>
      <c r="G254" s="43"/>
      <c r="H254" s="43"/>
      <c r="I254" s="43"/>
      <c r="J254" s="43"/>
      <c r="K254" s="43"/>
      <c r="L254" s="43"/>
      <c r="M254" s="43"/>
      <c r="N254" s="43"/>
      <c r="O254" s="43"/>
      <c r="Q254" s="43"/>
      <c r="U254" s="606"/>
      <c r="AA254" s="585"/>
    </row>
    <row r="255" spans="1:27">
      <c r="A255" s="43"/>
      <c r="B255" s="355" t="s">
        <v>115</v>
      </c>
      <c r="C255" s="43"/>
      <c r="D255" s="43"/>
      <c r="E255" s="43"/>
      <c r="F255" s="43"/>
      <c r="G255" s="43"/>
      <c r="H255" s="43"/>
      <c r="I255" s="43"/>
      <c r="J255" s="43"/>
      <c r="K255" s="43"/>
      <c r="L255" s="43"/>
      <c r="M255" s="43"/>
      <c r="N255" s="43"/>
      <c r="O255" s="43"/>
      <c r="Q255" s="43"/>
      <c r="U255" s="606"/>
      <c r="AA255" s="585"/>
    </row>
    <row r="256" spans="1:27">
      <c r="A256" s="43"/>
      <c r="B256" s="355"/>
      <c r="C256" s="43"/>
      <c r="D256" s="43"/>
      <c r="E256" s="43"/>
      <c r="F256" s="43"/>
      <c r="G256" s="43"/>
      <c r="H256" s="43"/>
      <c r="I256" s="43"/>
      <c r="J256" s="43"/>
      <c r="K256" s="43"/>
      <c r="L256" s="43"/>
      <c r="M256" s="43"/>
      <c r="N256" s="43"/>
      <c r="O256" s="43"/>
      <c r="Q256" s="43"/>
      <c r="U256" s="606"/>
      <c r="AA256" s="585"/>
    </row>
    <row r="257" spans="1:27">
      <c r="A257" s="43"/>
      <c r="B257" s="355" t="s">
        <v>116</v>
      </c>
      <c r="C257" s="43"/>
      <c r="D257" s="43"/>
      <c r="E257" s="43"/>
      <c r="F257" s="43"/>
      <c r="G257" s="43"/>
      <c r="H257" s="43"/>
      <c r="I257" s="43"/>
      <c r="J257" s="43"/>
      <c r="K257" s="43"/>
      <c r="L257" s="43"/>
      <c r="M257" s="43"/>
      <c r="N257" s="43"/>
      <c r="O257" s="43"/>
      <c r="Q257" s="43"/>
      <c r="U257" s="606"/>
      <c r="AA257" s="585"/>
    </row>
    <row r="258" spans="1:27">
      <c r="A258" s="43"/>
      <c r="B258" s="355" t="s">
        <v>117</v>
      </c>
      <c r="C258" s="43"/>
      <c r="D258" s="43"/>
      <c r="E258" s="43"/>
      <c r="F258" s="43"/>
      <c r="G258" s="43"/>
      <c r="H258" s="43"/>
      <c r="I258" s="43"/>
      <c r="J258" s="43"/>
      <c r="K258" s="43"/>
      <c r="L258" s="43"/>
      <c r="M258" s="43"/>
      <c r="N258" s="43"/>
      <c r="O258" s="43"/>
      <c r="Q258" s="43"/>
      <c r="U258" s="606"/>
      <c r="AA258" s="585"/>
    </row>
    <row r="259" spans="1:27">
      <c r="A259" s="43"/>
      <c r="B259" s="355"/>
      <c r="C259" s="43"/>
      <c r="D259" s="43"/>
      <c r="E259" s="43"/>
      <c r="F259" s="43"/>
      <c r="G259" s="43"/>
      <c r="H259" s="43"/>
      <c r="I259" s="43"/>
      <c r="J259" s="43"/>
      <c r="K259" s="43"/>
      <c r="L259" s="43"/>
      <c r="M259" s="43"/>
      <c r="N259" s="43"/>
      <c r="O259" s="43"/>
      <c r="Q259" s="43"/>
      <c r="U259" s="606"/>
      <c r="AA259" s="585"/>
    </row>
    <row r="260" spans="1:27">
      <c r="A260" s="43"/>
      <c r="B260" s="355" t="s">
        <v>118</v>
      </c>
      <c r="C260" s="43"/>
      <c r="D260" s="43"/>
      <c r="E260" s="43"/>
      <c r="F260" s="43"/>
      <c r="G260" s="43"/>
      <c r="H260" s="43"/>
      <c r="I260" s="43"/>
      <c r="J260" s="43"/>
      <c r="K260" s="43"/>
      <c r="L260" s="43"/>
      <c r="M260" s="43"/>
      <c r="N260" s="43"/>
      <c r="O260" s="43"/>
      <c r="Q260" s="43"/>
      <c r="U260" s="606"/>
      <c r="AA260" s="585"/>
    </row>
    <row r="261" spans="1:27">
      <c r="A261" s="43"/>
      <c r="B261" s="355" t="s">
        <v>119</v>
      </c>
      <c r="C261" s="43"/>
      <c r="D261" s="43"/>
      <c r="E261" s="43"/>
      <c r="F261" s="43"/>
      <c r="G261" s="43"/>
      <c r="H261" s="43"/>
      <c r="I261" s="43"/>
      <c r="J261" s="43"/>
      <c r="K261" s="43"/>
      <c r="L261" s="43"/>
      <c r="M261" s="43"/>
      <c r="N261" s="43"/>
      <c r="O261" s="43"/>
      <c r="Q261" s="43"/>
      <c r="U261" s="606"/>
      <c r="AA261" s="585"/>
    </row>
    <row r="262" spans="1:27">
      <c r="A262" s="43"/>
      <c r="B262" s="355"/>
      <c r="C262" s="43"/>
      <c r="D262" s="43"/>
      <c r="E262" s="43"/>
      <c r="F262" s="43"/>
      <c r="G262" s="43"/>
      <c r="H262" s="43"/>
      <c r="I262" s="43"/>
      <c r="J262" s="43"/>
      <c r="K262" s="43"/>
      <c r="L262" s="43"/>
      <c r="M262" s="43"/>
      <c r="N262" s="43"/>
      <c r="O262" s="43"/>
      <c r="Q262" s="43"/>
      <c r="U262" s="606"/>
      <c r="AA262" s="585"/>
    </row>
    <row r="263" spans="1:27">
      <c r="A263" s="43"/>
      <c r="B263" s="355" t="s">
        <v>120</v>
      </c>
      <c r="C263" s="43"/>
      <c r="D263" s="43"/>
      <c r="E263" s="43"/>
      <c r="F263" s="43"/>
      <c r="G263" s="43"/>
      <c r="H263" s="43"/>
      <c r="I263" s="43"/>
      <c r="J263" s="43"/>
      <c r="K263" s="43"/>
      <c r="L263" s="43"/>
      <c r="M263" s="43"/>
      <c r="N263" s="43"/>
      <c r="O263" s="43"/>
      <c r="Q263" s="43"/>
      <c r="U263" s="606"/>
      <c r="AA263" s="585"/>
    </row>
    <row r="264" spans="1:27">
      <c r="A264" s="43"/>
      <c r="B264" s="355" t="s">
        <v>121</v>
      </c>
      <c r="C264" s="43"/>
      <c r="D264" s="43"/>
      <c r="E264" s="43"/>
      <c r="F264" s="43"/>
      <c r="G264" s="43"/>
      <c r="H264" s="43"/>
      <c r="I264" s="43"/>
      <c r="J264" s="43"/>
      <c r="K264" s="43"/>
      <c r="L264" s="43"/>
      <c r="M264" s="43"/>
      <c r="N264" s="43"/>
      <c r="O264" s="43"/>
      <c r="Q264" s="43"/>
      <c r="U264" s="606"/>
      <c r="AA264" s="585"/>
    </row>
    <row r="265" spans="1:27">
      <c r="A265" s="43"/>
      <c r="B265" s="355"/>
      <c r="C265" s="43"/>
      <c r="D265" s="43"/>
      <c r="E265" s="43"/>
      <c r="F265" s="43"/>
      <c r="G265" s="43"/>
      <c r="H265" s="43"/>
      <c r="I265" s="43"/>
      <c r="J265" s="43"/>
      <c r="K265" s="43"/>
      <c r="L265" s="43"/>
      <c r="M265" s="43"/>
      <c r="N265" s="43"/>
      <c r="O265" s="43"/>
      <c r="Q265" s="43"/>
      <c r="U265" s="606"/>
      <c r="AA265" s="585"/>
    </row>
    <row r="266" spans="1:27">
      <c r="A266" s="43"/>
      <c r="B266" s="355"/>
      <c r="C266" s="43"/>
      <c r="D266" s="43"/>
      <c r="E266" s="43"/>
      <c r="F266" s="43"/>
      <c r="G266" s="43"/>
      <c r="H266" s="43"/>
      <c r="I266" s="43"/>
      <c r="J266" s="43"/>
      <c r="K266" s="43"/>
      <c r="L266" s="43"/>
      <c r="M266" s="43"/>
      <c r="N266" s="43"/>
      <c r="O266" s="43"/>
      <c r="Q266" s="43"/>
      <c r="U266" s="606"/>
      <c r="AA266" s="585"/>
    </row>
    <row r="267" spans="1:27">
      <c r="A267" s="43"/>
      <c r="C267" s="43"/>
      <c r="D267" s="43"/>
      <c r="E267" s="43"/>
      <c r="F267" s="43"/>
      <c r="G267" s="43"/>
      <c r="H267" s="43"/>
      <c r="I267" s="43"/>
      <c r="J267" s="43"/>
      <c r="K267" s="43"/>
      <c r="L267" s="43"/>
      <c r="M267" s="43"/>
      <c r="N267" s="43"/>
      <c r="O267" s="43"/>
      <c r="Q267" s="43"/>
      <c r="U267" s="606"/>
      <c r="AA267" s="585"/>
    </row>
    <row r="268" spans="1:27">
      <c r="A268" s="43"/>
      <c r="C268" s="43"/>
      <c r="D268" s="43"/>
      <c r="E268" s="43"/>
      <c r="F268" s="43"/>
      <c r="G268" s="43"/>
      <c r="H268" s="43"/>
      <c r="I268" s="43"/>
      <c r="J268" s="43"/>
      <c r="K268" s="43"/>
      <c r="L268" s="43"/>
      <c r="M268" s="43"/>
      <c r="N268" s="43"/>
      <c r="O268" s="43"/>
      <c r="Q268" s="43"/>
      <c r="U268" s="606"/>
      <c r="AA268" s="585"/>
    </row>
    <row r="269" spans="1:27">
      <c r="A269" s="43"/>
      <c r="AA269" s="585"/>
    </row>
    <row r="270" spans="1:27">
      <c r="A270" s="43"/>
      <c r="AA270" s="585"/>
    </row>
    <row r="271" spans="1:27">
      <c r="A271" s="43"/>
      <c r="C271" s="43"/>
      <c r="D271" s="43"/>
      <c r="E271" s="43"/>
      <c r="F271" s="43"/>
      <c r="G271" s="43"/>
      <c r="H271" s="43"/>
      <c r="I271" s="43"/>
      <c r="J271" s="43"/>
      <c r="K271" s="43"/>
      <c r="L271" s="43"/>
      <c r="M271" s="43"/>
      <c r="N271" s="43"/>
      <c r="O271" s="43"/>
      <c r="Q271" s="43"/>
      <c r="U271" s="606"/>
      <c r="AA271" s="585"/>
    </row>
    <row r="272" spans="1:27">
      <c r="A272" s="43"/>
      <c r="C272" s="43"/>
      <c r="D272" s="43"/>
      <c r="E272" s="43"/>
      <c r="F272" s="43"/>
      <c r="G272" s="43"/>
      <c r="H272" s="43"/>
      <c r="I272" s="43"/>
      <c r="J272" s="43"/>
      <c r="K272" s="43"/>
      <c r="L272" s="43"/>
      <c r="M272" s="43"/>
      <c r="N272" s="43"/>
      <c r="O272" s="43"/>
      <c r="Q272" s="43"/>
      <c r="U272" s="606"/>
      <c r="AA272" s="585"/>
    </row>
    <row r="273" spans="1:27">
      <c r="A273" s="43"/>
      <c r="C273" s="43"/>
      <c r="D273" s="43"/>
      <c r="E273" s="43"/>
      <c r="F273" s="43"/>
      <c r="G273" s="43"/>
      <c r="H273" s="43"/>
      <c r="I273" s="43"/>
      <c r="J273" s="43"/>
      <c r="K273" s="43"/>
      <c r="L273" s="43"/>
      <c r="M273" s="43"/>
      <c r="N273" s="43"/>
      <c r="O273" s="43"/>
      <c r="Q273" s="43"/>
      <c r="U273" s="606"/>
      <c r="AA273" s="585"/>
    </row>
    <row r="274" spans="1:27">
      <c r="A274" s="43"/>
      <c r="C274" s="43"/>
      <c r="D274" s="43"/>
      <c r="E274" s="43"/>
      <c r="F274" s="43"/>
      <c r="G274" s="43"/>
      <c r="H274" s="43"/>
      <c r="I274" s="43"/>
      <c r="J274" s="43"/>
      <c r="K274" s="43"/>
      <c r="L274" s="43"/>
      <c r="M274" s="43"/>
      <c r="N274" s="43"/>
      <c r="O274" s="43"/>
      <c r="Q274" s="43"/>
      <c r="U274" s="606"/>
      <c r="AA274" s="585"/>
    </row>
    <row r="275" spans="1:27">
      <c r="A275" s="43"/>
      <c r="C275" s="43"/>
      <c r="D275" s="43"/>
      <c r="E275" s="43"/>
      <c r="F275" s="43"/>
      <c r="G275" s="43"/>
      <c r="H275" s="43"/>
      <c r="I275" s="43"/>
      <c r="J275" s="43"/>
      <c r="K275" s="43"/>
      <c r="L275" s="43"/>
      <c r="M275" s="43"/>
      <c r="N275" s="43"/>
      <c r="O275" s="43"/>
      <c r="Q275" s="43"/>
      <c r="U275" s="606"/>
      <c r="AA275" s="585"/>
    </row>
    <row r="276" spans="1:27">
      <c r="A276" s="43"/>
      <c r="C276" s="43"/>
      <c r="D276" s="43"/>
      <c r="E276" s="43"/>
      <c r="F276" s="43"/>
      <c r="G276" s="43"/>
      <c r="H276" s="43"/>
      <c r="I276" s="43"/>
      <c r="J276" s="43"/>
      <c r="K276" s="43"/>
      <c r="L276" s="43"/>
      <c r="M276" s="43"/>
      <c r="N276" s="43"/>
      <c r="O276" s="43"/>
      <c r="Q276" s="43"/>
      <c r="U276" s="606"/>
      <c r="AA276" s="585"/>
    </row>
    <row r="277" spans="1:27">
      <c r="A277" s="43"/>
      <c r="C277" s="43"/>
      <c r="D277" s="43"/>
      <c r="E277" s="43"/>
      <c r="F277" s="43"/>
      <c r="G277" s="43"/>
      <c r="H277" s="43"/>
      <c r="I277" s="43"/>
      <c r="J277" s="43"/>
      <c r="K277" s="43"/>
      <c r="L277" s="43"/>
      <c r="M277" s="43"/>
      <c r="N277" s="43"/>
      <c r="O277" s="43"/>
      <c r="Q277" s="43"/>
      <c r="U277" s="606"/>
      <c r="AA277" s="585"/>
    </row>
    <row r="278" spans="1:27">
      <c r="A278" s="43"/>
      <c r="C278" s="43"/>
      <c r="D278" s="43"/>
      <c r="E278" s="43"/>
      <c r="F278" s="43"/>
      <c r="G278" s="43"/>
      <c r="H278" s="43"/>
      <c r="I278" s="43"/>
      <c r="J278" s="43"/>
      <c r="K278" s="43"/>
      <c r="L278" s="43"/>
      <c r="M278" s="43"/>
      <c r="N278" s="43"/>
      <c r="O278" s="43"/>
      <c r="Q278" s="43"/>
      <c r="U278" s="606"/>
      <c r="AA278" s="585"/>
    </row>
    <row r="279" spans="1:27">
      <c r="A279" s="43"/>
      <c r="C279" s="43"/>
      <c r="D279" s="43"/>
      <c r="E279" s="43"/>
      <c r="F279" s="43"/>
      <c r="G279" s="43"/>
      <c r="H279" s="43"/>
      <c r="I279" s="43"/>
      <c r="J279" s="43"/>
      <c r="K279" s="43"/>
      <c r="L279" s="43"/>
      <c r="M279" s="43"/>
      <c r="N279" s="43"/>
      <c r="O279" s="43"/>
      <c r="Q279" s="43"/>
      <c r="U279" s="606"/>
      <c r="AA279" s="585"/>
    </row>
    <row r="280" spans="1:27">
      <c r="A280" s="43"/>
      <c r="C280" s="43"/>
      <c r="D280" s="43"/>
      <c r="E280" s="43"/>
      <c r="F280" s="43"/>
      <c r="G280" s="43"/>
      <c r="H280" s="43"/>
      <c r="I280" s="43"/>
      <c r="J280" s="43"/>
      <c r="K280" s="43"/>
      <c r="L280" s="43"/>
      <c r="M280" s="43"/>
      <c r="N280" s="43"/>
      <c r="O280" s="43"/>
      <c r="Q280" s="43"/>
      <c r="U280" s="606"/>
      <c r="AA280" s="585"/>
    </row>
    <row r="281" spans="1:27">
      <c r="A281" s="43"/>
      <c r="C281" s="43"/>
      <c r="D281" s="43"/>
      <c r="E281" s="43"/>
      <c r="F281" s="43"/>
      <c r="G281" s="43"/>
      <c r="H281" s="43"/>
      <c r="I281" s="43"/>
      <c r="J281" s="43"/>
      <c r="K281" s="43"/>
      <c r="L281" s="43"/>
      <c r="M281" s="43"/>
      <c r="N281" s="43"/>
      <c r="O281" s="43"/>
      <c r="Q281" s="43"/>
      <c r="U281" s="606"/>
      <c r="AA281" s="585"/>
    </row>
    <row r="282" spans="1:27">
      <c r="A282" s="43"/>
      <c r="C282" s="43"/>
      <c r="D282" s="43"/>
      <c r="E282" s="43"/>
      <c r="F282" s="43"/>
      <c r="G282" s="43"/>
      <c r="H282" s="43"/>
      <c r="I282" s="43"/>
      <c r="J282" s="43"/>
      <c r="K282" s="43"/>
      <c r="L282" s="43"/>
      <c r="M282" s="43"/>
      <c r="N282" s="43"/>
      <c r="O282" s="43"/>
      <c r="Q282" s="43"/>
      <c r="U282" s="606"/>
      <c r="AA282" s="585"/>
    </row>
    <row r="283" spans="1:27">
      <c r="A283" s="43"/>
      <c r="C283" s="43"/>
      <c r="D283" s="43"/>
      <c r="E283" s="43"/>
      <c r="F283" s="43"/>
      <c r="G283" s="43"/>
      <c r="H283" s="43"/>
      <c r="I283" s="43"/>
      <c r="J283" s="43"/>
      <c r="K283" s="43"/>
      <c r="L283" s="43"/>
      <c r="M283" s="43"/>
      <c r="N283" s="43"/>
      <c r="O283" s="43"/>
      <c r="Q283" s="43"/>
      <c r="U283" s="606"/>
      <c r="AA283" s="585"/>
    </row>
    <row r="284" spans="1:27">
      <c r="A284" s="43"/>
      <c r="C284" s="43"/>
      <c r="D284" s="43"/>
      <c r="E284" s="43"/>
      <c r="F284" s="43"/>
      <c r="G284" s="43"/>
      <c r="H284" s="43"/>
      <c r="I284" s="43"/>
      <c r="J284" s="43"/>
      <c r="K284" s="43"/>
      <c r="L284" s="43"/>
      <c r="M284" s="43"/>
      <c r="N284" s="43"/>
      <c r="O284" s="43"/>
      <c r="Q284" s="43"/>
      <c r="U284" s="606"/>
      <c r="AA284" s="585"/>
    </row>
    <row r="285" spans="1:27">
      <c r="A285" s="43"/>
      <c r="C285" s="43"/>
      <c r="D285" s="43"/>
      <c r="E285" s="43"/>
      <c r="F285" s="43"/>
      <c r="G285" s="43"/>
      <c r="H285" s="43"/>
      <c r="I285" s="43"/>
      <c r="J285" s="43"/>
      <c r="K285" s="43"/>
      <c r="L285" s="43"/>
      <c r="M285" s="43"/>
      <c r="N285" s="43"/>
      <c r="O285" s="43"/>
      <c r="Q285" s="43"/>
      <c r="U285" s="606"/>
      <c r="AA285" s="585"/>
    </row>
    <row r="286" spans="1:27">
      <c r="A286" s="43"/>
      <c r="C286" s="43"/>
      <c r="D286" s="43"/>
      <c r="E286" s="43"/>
      <c r="F286" s="43"/>
      <c r="G286" s="43"/>
      <c r="H286" s="43"/>
      <c r="I286" s="43"/>
      <c r="J286" s="43"/>
      <c r="K286" s="43"/>
      <c r="L286" s="43"/>
      <c r="M286" s="43"/>
      <c r="N286" s="43"/>
      <c r="O286" s="43"/>
      <c r="Q286" s="43"/>
      <c r="U286" s="606"/>
      <c r="AA286" s="585"/>
    </row>
    <row r="287" spans="1:27">
      <c r="A287" s="43"/>
      <c r="C287" s="43"/>
      <c r="D287" s="43"/>
      <c r="E287" s="43"/>
      <c r="F287" s="43"/>
      <c r="G287" s="43"/>
      <c r="H287" s="43"/>
      <c r="I287" s="43"/>
      <c r="J287" s="43"/>
      <c r="K287" s="43"/>
      <c r="L287" s="43"/>
      <c r="M287" s="43"/>
      <c r="N287" s="43"/>
      <c r="O287" s="43"/>
      <c r="Q287" s="43"/>
      <c r="U287" s="606"/>
      <c r="AA287" s="585"/>
    </row>
    <row r="288" spans="1:27">
      <c r="A288" s="43"/>
      <c r="C288" s="43"/>
      <c r="D288" s="43"/>
      <c r="E288" s="43"/>
      <c r="F288" s="43"/>
      <c r="G288" s="43"/>
      <c r="H288" s="43"/>
      <c r="I288" s="43"/>
      <c r="J288" s="43"/>
      <c r="K288" s="43"/>
      <c r="L288" s="43"/>
      <c r="M288" s="43"/>
      <c r="N288" s="43"/>
      <c r="O288" s="43"/>
      <c r="Q288" s="43"/>
      <c r="U288" s="606"/>
      <c r="AA288" s="585"/>
    </row>
    <row r="289" spans="1:27">
      <c r="A289" s="43"/>
      <c r="C289" s="43"/>
      <c r="D289" s="43"/>
      <c r="E289" s="43"/>
      <c r="F289" s="43"/>
      <c r="G289" s="43"/>
      <c r="H289" s="43"/>
      <c r="I289" s="43"/>
      <c r="J289" s="43"/>
      <c r="K289" s="43"/>
      <c r="L289" s="43"/>
      <c r="M289" s="43"/>
      <c r="N289" s="43"/>
      <c r="O289" s="43"/>
      <c r="Q289" s="43"/>
      <c r="U289" s="606"/>
      <c r="AA289" s="585"/>
    </row>
    <row r="290" spans="1:27">
      <c r="A290" s="43"/>
      <c r="C290" s="43"/>
      <c r="D290" s="43"/>
      <c r="E290" s="43"/>
      <c r="F290" s="43"/>
      <c r="G290" s="43"/>
      <c r="H290" s="43"/>
      <c r="I290" s="43"/>
      <c r="J290" s="43"/>
      <c r="K290" s="43"/>
      <c r="L290" s="43"/>
      <c r="M290" s="43"/>
      <c r="N290" s="43"/>
      <c r="O290" s="43"/>
      <c r="Q290" s="43"/>
      <c r="U290" s="606"/>
      <c r="AA290" s="585"/>
    </row>
    <row r="291" spans="1:27">
      <c r="A291" s="43"/>
      <c r="C291" s="43"/>
      <c r="D291" s="43"/>
      <c r="E291" s="43"/>
      <c r="F291" s="43"/>
      <c r="G291" s="43"/>
      <c r="H291" s="43"/>
      <c r="I291" s="43"/>
      <c r="J291" s="43"/>
      <c r="K291" s="43"/>
      <c r="L291" s="43"/>
      <c r="M291" s="43"/>
      <c r="N291" s="43"/>
      <c r="O291" s="43"/>
      <c r="Q291" s="43"/>
      <c r="U291" s="606"/>
      <c r="AA291" s="585"/>
    </row>
    <row r="292" spans="1:27">
      <c r="A292" s="43"/>
      <c r="C292" s="43"/>
      <c r="D292" s="43"/>
      <c r="E292" s="43"/>
      <c r="F292" s="43"/>
      <c r="G292" s="43"/>
      <c r="H292" s="43"/>
      <c r="I292" s="43"/>
      <c r="J292" s="43"/>
      <c r="K292" s="43"/>
      <c r="L292" s="43"/>
      <c r="M292" s="43"/>
      <c r="N292" s="43"/>
      <c r="O292" s="43"/>
      <c r="Q292" s="43"/>
      <c r="U292" s="606"/>
      <c r="AA292" s="585"/>
    </row>
    <row r="293" spans="1:27">
      <c r="A293" s="43"/>
      <c r="C293" s="43"/>
      <c r="D293" s="43"/>
      <c r="E293" s="43"/>
      <c r="F293" s="43"/>
      <c r="G293" s="43"/>
      <c r="H293" s="43"/>
      <c r="I293" s="43"/>
      <c r="J293" s="43"/>
      <c r="K293" s="43"/>
      <c r="L293" s="43"/>
      <c r="M293" s="43"/>
      <c r="N293" s="43"/>
      <c r="O293" s="43"/>
      <c r="Q293" s="43"/>
      <c r="U293" s="606"/>
      <c r="AA293" s="585"/>
    </row>
    <row r="294" spans="1:27">
      <c r="A294" s="43"/>
      <c r="C294" s="43"/>
      <c r="D294" s="43"/>
      <c r="E294" s="43"/>
      <c r="F294" s="43"/>
      <c r="G294" s="43"/>
      <c r="H294" s="43"/>
      <c r="I294" s="43"/>
      <c r="J294" s="43"/>
      <c r="K294" s="43"/>
      <c r="L294" s="43"/>
      <c r="M294" s="43"/>
      <c r="N294" s="43"/>
      <c r="O294" s="43"/>
      <c r="Q294" s="43"/>
      <c r="U294" s="606"/>
      <c r="AA294" s="585"/>
    </row>
    <row r="295" spans="1:27">
      <c r="A295" s="43"/>
      <c r="C295" s="43"/>
      <c r="D295" s="43"/>
      <c r="E295" s="43"/>
      <c r="F295" s="43"/>
      <c r="G295" s="43"/>
      <c r="H295" s="43"/>
      <c r="I295" s="43"/>
      <c r="J295" s="43"/>
      <c r="K295" s="43"/>
      <c r="L295" s="43"/>
      <c r="M295" s="43"/>
      <c r="N295" s="43"/>
      <c r="O295" s="43"/>
      <c r="Q295" s="43"/>
      <c r="U295" s="606"/>
      <c r="AA295" s="585"/>
    </row>
    <row r="296" spans="1:27">
      <c r="A296" s="43"/>
      <c r="C296" s="43"/>
      <c r="D296" s="43"/>
      <c r="E296" s="43"/>
      <c r="F296" s="43"/>
      <c r="G296" s="43"/>
      <c r="H296" s="43"/>
      <c r="I296" s="43"/>
      <c r="J296" s="43"/>
      <c r="K296" s="43"/>
      <c r="L296" s="43"/>
      <c r="M296" s="43"/>
      <c r="N296" s="43"/>
      <c r="O296" s="43"/>
      <c r="Q296" s="43"/>
      <c r="U296" s="606"/>
      <c r="AA296" s="585"/>
    </row>
    <row r="297" spans="1:27">
      <c r="A297" s="43"/>
      <c r="C297" s="43"/>
      <c r="D297" s="43"/>
      <c r="E297" s="43"/>
      <c r="F297" s="43"/>
      <c r="G297" s="43"/>
      <c r="H297" s="43"/>
      <c r="I297" s="43"/>
      <c r="J297" s="43"/>
      <c r="K297" s="43"/>
      <c r="L297" s="43"/>
      <c r="M297" s="43"/>
      <c r="N297" s="43"/>
      <c r="O297" s="43"/>
      <c r="Q297" s="43"/>
      <c r="U297" s="606"/>
      <c r="AA297" s="585"/>
    </row>
    <row r="298" spans="1:27">
      <c r="A298" s="43"/>
      <c r="C298" s="43"/>
      <c r="D298" s="43"/>
      <c r="E298" s="43"/>
      <c r="F298" s="43"/>
      <c r="G298" s="43"/>
      <c r="H298" s="43"/>
      <c r="I298" s="43"/>
      <c r="J298" s="43"/>
      <c r="K298" s="43"/>
      <c r="L298" s="43"/>
      <c r="M298" s="43"/>
      <c r="N298" s="43"/>
      <c r="O298" s="43"/>
      <c r="Q298" s="43"/>
      <c r="U298" s="606"/>
      <c r="AA298" s="585"/>
    </row>
    <row r="299" spans="1:27">
      <c r="A299" s="43"/>
      <c r="C299" s="43"/>
      <c r="D299" s="43"/>
      <c r="E299" s="43"/>
      <c r="F299" s="43"/>
      <c r="G299" s="43"/>
      <c r="H299" s="43"/>
      <c r="I299" s="43"/>
      <c r="J299" s="43"/>
      <c r="K299" s="43"/>
      <c r="L299" s="43"/>
      <c r="M299" s="43"/>
      <c r="N299" s="43"/>
      <c r="O299" s="43"/>
      <c r="Q299" s="43"/>
      <c r="U299" s="606"/>
      <c r="AA299" s="585"/>
    </row>
    <row r="300" spans="1:27">
      <c r="A300" s="43"/>
      <c r="C300" s="43"/>
      <c r="D300" s="43"/>
      <c r="E300" s="43"/>
      <c r="F300" s="43"/>
      <c r="G300" s="43"/>
      <c r="H300" s="43"/>
      <c r="I300" s="43"/>
      <c r="J300" s="43"/>
      <c r="K300" s="43"/>
      <c r="L300" s="43"/>
      <c r="M300" s="43"/>
      <c r="N300" s="43"/>
      <c r="O300" s="43"/>
      <c r="Q300" s="43"/>
      <c r="U300" s="606"/>
      <c r="AA300" s="585"/>
    </row>
    <row r="301" spans="1:27">
      <c r="A301" s="43"/>
      <c r="C301" s="43"/>
      <c r="D301" s="43"/>
      <c r="E301" s="43"/>
      <c r="F301" s="43"/>
      <c r="G301" s="43"/>
      <c r="H301" s="43"/>
      <c r="I301" s="43"/>
      <c r="J301" s="43"/>
      <c r="K301" s="43"/>
      <c r="L301" s="43"/>
      <c r="M301" s="43"/>
      <c r="N301" s="43"/>
      <c r="O301" s="43"/>
      <c r="Q301" s="43"/>
      <c r="U301" s="606"/>
      <c r="AA301" s="585"/>
    </row>
    <row r="302" spans="1:27">
      <c r="A302" s="43"/>
      <c r="C302" s="43"/>
      <c r="D302" s="43"/>
      <c r="E302" s="43"/>
      <c r="F302" s="43"/>
      <c r="G302" s="43"/>
      <c r="H302" s="43"/>
      <c r="I302" s="43"/>
      <c r="J302" s="43"/>
      <c r="K302" s="43"/>
      <c r="L302" s="43"/>
      <c r="M302" s="43"/>
      <c r="N302" s="43"/>
      <c r="O302" s="43"/>
      <c r="Q302" s="43"/>
      <c r="U302" s="606"/>
      <c r="AA302" s="585"/>
    </row>
    <row r="303" spans="1:27">
      <c r="A303" s="43"/>
      <c r="C303" s="43"/>
      <c r="D303" s="43"/>
      <c r="E303" s="43"/>
      <c r="F303" s="43"/>
      <c r="G303" s="43"/>
      <c r="H303" s="43"/>
      <c r="I303" s="43"/>
      <c r="J303" s="43"/>
      <c r="K303" s="43"/>
      <c r="L303" s="43"/>
      <c r="M303" s="43"/>
      <c r="N303" s="43"/>
      <c r="O303" s="43"/>
      <c r="Q303" s="43"/>
      <c r="U303" s="606"/>
      <c r="AA303" s="585"/>
    </row>
    <row r="304" spans="1:27">
      <c r="A304" s="43"/>
      <c r="C304" s="43"/>
      <c r="D304" s="43"/>
      <c r="E304" s="43"/>
      <c r="F304" s="43"/>
      <c r="G304" s="43"/>
      <c r="H304" s="43"/>
      <c r="I304" s="43"/>
      <c r="J304" s="43"/>
      <c r="K304" s="43"/>
      <c r="L304" s="43"/>
      <c r="M304" s="43"/>
      <c r="N304" s="43"/>
      <c r="O304" s="43"/>
      <c r="Q304" s="43"/>
      <c r="U304" s="606"/>
      <c r="AA304" s="585"/>
    </row>
    <row r="305" spans="1:27">
      <c r="A305" s="43"/>
      <c r="C305" s="43"/>
      <c r="D305" s="43"/>
      <c r="E305" s="43"/>
      <c r="F305" s="43"/>
      <c r="G305" s="43"/>
      <c r="H305" s="43"/>
      <c r="I305" s="43"/>
      <c r="J305" s="43"/>
      <c r="K305" s="43"/>
      <c r="L305" s="43"/>
      <c r="M305" s="43"/>
      <c r="N305" s="43"/>
      <c r="O305" s="43"/>
      <c r="Q305" s="43"/>
      <c r="U305" s="606"/>
      <c r="AA305" s="585"/>
    </row>
    <row r="306" spans="1:27">
      <c r="A306" s="43"/>
      <c r="C306" s="43"/>
      <c r="D306" s="43"/>
      <c r="E306" s="43"/>
      <c r="F306" s="43"/>
      <c r="G306" s="43"/>
      <c r="H306" s="43"/>
      <c r="I306" s="43"/>
      <c r="J306" s="43"/>
      <c r="K306" s="43"/>
      <c r="L306" s="43"/>
      <c r="M306" s="43"/>
      <c r="N306" s="43"/>
      <c r="O306" s="43"/>
      <c r="Q306" s="43"/>
      <c r="U306" s="606"/>
      <c r="AA306" s="585"/>
    </row>
    <row r="307" spans="1:27">
      <c r="A307" s="43"/>
      <c r="C307" s="43"/>
      <c r="D307" s="43"/>
      <c r="E307" s="43"/>
      <c r="F307" s="43"/>
      <c r="G307" s="43"/>
      <c r="H307" s="43"/>
      <c r="I307" s="43"/>
      <c r="J307" s="43"/>
      <c r="K307" s="43"/>
      <c r="L307" s="43"/>
      <c r="M307" s="43"/>
      <c r="N307" s="43"/>
      <c r="O307" s="43"/>
      <c r="Q307" s="43"/>
      <c r="U307" s="606"/>
      <c r="AA307" s="585"/>
    </row>
    <row r="308" spans="1:27">
      <c r="A308" s="43"/>
      <c r="C308" s="43"/>
      <c r="D308" s="43"/>
      <c r="E308" s="43"/>
      <c r="F308" s="43"/>
      <c r="G308" s="43"/>
      <c r="H308" s="43"/>
      <c r="I308" s="43"/>
      <c r="J308" s="43"/>
      <c r="K308" s="43"/>
      <c r="L308" s="43"/>
      <c r="M308" s="43"/>
      <c r="N308" s="43"/>
      <c r="O308" s="43"/>
      <c r="Q308" s="43"/>
      <c r="U308" s="606"/>
      <c r="AA308" s="585"/>
    </row>
    <row r="309" spans="1:27">
      <c r="A309" s="43"/>
      <c r="C309" s="43"/>
      <c r="D309" s="43"/>
      <c r="E309" s="43"/>
      <c r="F309" s="43"/>
      <c r="G309" s="43"/>
      <c r="H309" s="43"/>
      <c r="I309" s="43"/>
      <c r="J309" s="43"/>
      <c r="K309" s="43"/>
      <c r="L309" s="43"/>
      <c r="M309" s="43"/>
      <c r="N309" s="43"/>
      <c r="O309" s="43"/>
      <c r="Q309" s="43"/>
      <c r="U309" s="606"/>
      <c r="AA309" s="585"/>
    </row>
    <row r="310" spans="1:27">
      <c r="A310" s="43"/>
      <c r="C310" s="43"/>
      <c r="D310" s="43"/>
      <c r="E310" s="43"/>
      <c r="F310" s="43"/>
      <c r="G310" s="43"/>
      <c r="H310" s="43"/>
      <c r="I310" s="43"/>
      <c r="J310" s="43"/>
      <c r="K310" s="43"/>
      <c r="L310" s="43"/>
      <c r="M310" s="43"/>
      <c r="N310" s="43"/>
      <c r="O310" s="43"/>
      <c r="Q310" s="43"/>
      <c r="U310" s="606"/>
      <c r="AA310" s="585"/>
    </row>
    <row r="311" spans="1:27">
      <c r="A311" s="43"/>
      <c r="C311" s="43"/>
      <c r="D311" s="43"/>
      <c r="E311" s="43"/>
      <c r="F311" s="43"/>
      <c r="G311" s="43"/>
      <c r="H311" s="43"/>
      <c r="I311" s="43"/>
      <c r="J311" s="43"/>
      <c r="K311" s="43"/>
      <c r="L311" s="43"/>
      <c r="M311" s="43"/>
      <c r="N311" s="43"/>
      <c r="O311" s="43"/>
      <c r="Q311" s="43"/>
      <c r="U311" s="606"/>
      <c r="AA311" s="585"/>
    </row>
    <row r="312" spans="1:27">
      <c r="A312" s="43"/>
      <c r="C312" s="43"/>
      <c r="D312" s="43"/>
      <c r="E312" s="43"/>
      <c r="F312" s="43"/>
      <c r="G312" s="43"/>
      <c r="H312" s="43"/>
      <c r="I312" s="43"/>
      <c r="J312" s="43"/>
      <c r="K312" s="43"/>
      <c r="L312" s="43"/>
      <c r="M312" s="43"/>
      <c r="N312" s="43"/>
      <c r="O312" s="43"/>
      <c r="Q312" s="43"/>
      <c r="U312" s="606"/>
      <c r="AA312" s="585"/>
    </row>
    <row r="313" spans="1:27">
      <c r="A313" s="43"/>
      <c r="C313" s="43"/>
      <c r="D313" s="43"/>
      <c r="E313" s="43"/>
      <c r="F313" s="43"/>
      <c r="G313" s="43"/>
      <c r="H313" s="43"/>
      <c r="I313" s="43"/>
      <c r="J313" s="43"/>
      <c r="K313" s="43"/>
      <c r="L313" s="43"/>
      <c r="M313" s="43"/>
      <c r="N313" s="43"/>
      <c r="O313" s="43"/>
      <c r="Q313" s="43"/>
      <c r="U313" s="606"/>
      <c r="AA313" s="585"/>
    </row>
    <row r="314" spans="1:27">
      <c r="A314" s="43"/>
      <c r="C314" s="43"/>
      <c r="D314" s="43"/>
      <c r="E314" s="43"/>
      <c r="F314" s="43"/>
      <c r="G314" s="43"/>
      <c r="H314" s="43"/>
      <c r="I314" s="43"/>
      <c r="J314" s="43"/>
      <c r="K314" s="43"/>
      <c r="L314" s="43"/>
      <c r="M314" s="43"/>
      <c r="N314" s="43"/>
      <c r="O314" s="43"/>
      <c r="Q314" s="43"/>
      <c r="U314" s="606"/>
      <c r="AA314" s="585"/>
    </row>
    <row r="315" spans="1:27">
      <c r="A315" s="43"/>
      <c r="C315" s="43"/>
      <c r="D315" s="43"/>
      <c r="E315" s="43"/>
      <c r="F315" s="43"/>
      <c r="G315" s="43"/>
      <c r="H315" s="43"/>
      <c r="I315" s="43"/>
      <c r="J315" s="43"/>
      <c r="K315" s="43"/>
      <c r="L315" s="43"/>
      <c r="M315" s="43"/>
      <c r="N315" s="43"/>
      <c r="O315" s="43"/>
      <c r="Q315" s="43"/>
      <c r="U315" s="606"/>
      <c r="AA315" s="585"/>
    </row>
    <row r="316" spans="1:27">
      <c r="A316" s="43"/>
      <c r="C316" s="43"/>
      <c r="D316" s="43"/>
      <c r="E316" s="43"/>
      <c r="F316" s="43"/>
      <c r="G316" s="43"/>
      <c r="H316" s="43"/>
      <c r="I316" s="43"/>
      <c r="J316" s="43"/>
      <c r="K316" s="43"/>
      <c r="L316" s="43"/>
      <c r="M316" s="43"/>
      <c r="N316" s="43"/>
      <c r="O316" s="43"/>
      <c r="Q316" s="43"/>
      <c r="U316" s="606"/>
      <c r="AA316" s="585"/>
    </row>
    <row r="317" spans="1:27">
      <c r="A317" s="43"/>
      <c r="C317" s="43"/>
      <c r="D317" s="43"/>
      <c r="E317" s="43"/>
      <c r="F317" s="43"/>
      <c r="G317" s="43"/>
      <c r="H317" s="43"/>
      <c r="I317" s="43"/>
      <c r="J317" s="43"/>
      <c r="K317" s="43"/>
      <c r="L317" s="43"/>
      <c r="M317" s="43"/>
      <c r="N317" s="43"/>
      <c r="O317" s="43"/>
      <c r="Q317" s="43"/>
      <c r="U317" s="606"/>
      <c r="AA317" s="585"/>
    </row>
    <row r="318" spans="1:27">
      <c r="A318" s="43"/>
      <c r="C318" s="43"/>
      <c r="D318" s="43"/>
      <c r="E318" s="43"/>
      <c r="F318" s="43"/>
      <c r="G318" s="43"/>
      <c r="H318" s="43"/>
      <c r="I318" s="43"/>
      <c r="J318" s="43"/>
      <c r="K318" s="43"/>
      <c r="L318" s="43"/>
      <c r="M318" s="43"/>
      <c r="N318" s="43"/>
      <c r="O318" s="43"/>
      <c r="Q318" s="43"/>
      <c r="U318" s="606"/>
      <c r="AA318" s="585"/>
    </row>
    <row r="319" spans="1:27">
      <c r="A319" s="43"/>
      <c r="C319" s="43"/>
      <c r="D319" s="43"/>
      <c r="E319" s="43"/>
      <c r="F319" s="43"/>
      <c r="G319" s="43"/>
      <c r="H319" s="43"/>
      <c r="I319" s="43"/>
      <c r="J319" s="43"/>
      <c r="K319" s="43"/>
      <c r="L319" s="43"/>
      <c r="M319" s="43"/>
      <c r="N319" s="43"/>
      <c r="O319" s="43"/>
      <c r="Q319" s="43"/>
      <c r="U319" s="606"/>
      <c r="AA319" s="585"/>
    </row>
    <row r="320" spans="1:27">
      <c r="A320" s="43"/>
      <c r="C320" s="43"/>
      <c r="D320" s="43"/>
      <c r="E320" s="43"/>
      <c r="F320" s="43"/>
      <c r="G320" s="43"/>
      <c r="H320" s="43"/>
      <c r="I320" s="43"/>
      <c r="J320" s="43"/>
      <c r="K320" s="43"/>
      <c r="L320" s="43"/>
      <c r="M320" s="43"/>
      <c r="N320" s="43"/>
      <c r="O320" s="43"/>
      <c r="Q320" s="43"/>
      <c r="U320" s="606"/>
      <c r="AA320" s="585"/>
    </row>
    <row r="321" spans="1:27">
      <c r="A321" s="43"/>
      <c r="C321" s="43"/>
      <c r="D321" s="43"/>
      <c r="E321" s="43"/>
      <c r="F321" s="43"/>
      <c r="G321" s="43"/>
      <c r="H321" s="43"/>
      <c r="I321" s="43"/>
      <c r="J321" s="43"/>
      <c r="K321" s="43"/>
      <c r="L321" s="43"/>
      <c r="M321" s="43"/>
      <c r="N321" s="43"/>
      <c r="O321" s="43"/>
      <c r="Q321" s="43"/>
      <c r="U321" s="606"/>
      <c r="AA321" s="585"/>
    </row>
    <row r="322" spans="1:27">
      <c r="A322" s="43"/>
      <c r="C322" s="43"/>
      <c r="D322" s="43"/>
      <c r="E322" s="43"/>
      <c r="F322" s="43"/>
      <c r="G322" s="43"/>
      <c r="H322" s="43"/>
      <c r="I322" s="43"/>
      <c r="J322" s="43"/>
      <c r="K322" s="43"/>
      <c r="L322" s="43"/>
      <c r="M322" s="43"/>
      <c r="N322" s="43"/>
      <c r="O322" s="43"/>
      <c r="Q322" s="43"/>
      <c r="U322" s="606"/>
      <c r="AA322" s="585"/>
    </row>
    <row r="323" spans="1:27">
      <c r="A323" s="43"/>
      <c r="C323" s="43"/>
      <c r="D323" s="43"/>
      <c r="E323" s="43"/>
      <c r="F323" s="43"/>
      <c r="G323" s="43"/>
      <c r="H323" s="43"/>
      <c r="I323" s="43"/>
      <c r="J323" s="43"/>
      <c r="K323" s="43"/>
      <c r="L323" s="43"/>
      <c r="M323" s="43"/>
      <c r="N323" s="43"/>
      <c r="O323" s="43"/>
      <c r="Q323" s="43"/>
      <c r="U323" s="606"/>
      <c r="AA323" s="585"/>
    </row>
    <row r="324" spans="1:27">
      <c r="A324" s="43"/>
      <c r="C324" s="43"/>
      <c r="D324" s="43"/>
      <c r="E324" s="43"/>
      <c r="F324" s="43"/>
      <c r="G324" s="43"/>
      <c r="H324" s="43"/>
      <c r="I324" s="43"/>
      <c r="J324" s="43"/>
      <c r="K324" s="43"/>
      <c r="L324" s="43"/>
      <c r="M324" s="43"/>
      <c r="N324" s="43"/>
      <c r="O324" s="43"/>
      <c r="Q324" s="43"/>
      <c r="U324" s="606"/>
      <c r="AA324" s="585"/>
    </row>
    <row r="325" spans="1:27">
      <c r="A325" s="43"/>
      <c r="C325" s="43"/>
      <c r="D325" s="43"/>
      <c r="E325" s="43"/>
      <c r="F325" s="43"/>
      <c r="G325" s="43"/>
      <c r="H325" s="43"/>
      <c r="I325" s="43"/>
      <c r="J325" s="43"/>
      <c r="K325" s="43"/>
      <c r="L325" s="43"/>
      <c r="M325" s="43"/>
      <c r="N325" s="43"/>
      <c r="O325" s="43"/>
      <c r="Q325" s="43"/>
      <c r="U325" s="606"/>
      <c r="AA325" s="585"/>
    </row>
    <row r="326" spans="1:27">
      <c r="A326" s="43"/>
      <c r="C326" s="43"/>
      <c r="D326" s="43"/>
      <c r="E326" s="43"/>
      <c r="F326" s="43"/>
      <c r="G326" s="43"/>
      <c r="H326" s="43"/>
      <c r="I326" s="43"/>
      <c r="J326" s="43"/>
      <c r="K326" s="43"/>
      <c r="L326" s="43"/>
      <c r="M326" s="43"/>
      <c r="N326" s="43"/>
      <c r="O326" s="43"/>
      <c r="Q326" s="43"/>
      <c r="U326" s="606"/>
      <c r="AA326" s="585"/>
    </row>
    <row r="327" spans="1:27">
      <c r="A327" s="43"/>
      <c r="C327" s="43"/>
      <c r="D327" s="43"/>
      <c r="E327" s="43"/>
      <c r="F327" s="43"/>
      <c r="G327" s="43"/>
      <c r="H327" s="43"/>
      <c r="I327" s="43"/>
      <c r="J327" s="43"/>
      <c r="K327" s="43"/>
      <c r="L327" s="43"/>
      <c r="M327" s="43"/>
      <c r="N327" s="43"/>
      <c r="O327" s="43"/>
      <c r="Q327" s="43"/>
      <c r="U327" s="606"/>
      <c r="AA327" s="585"/>
    </row>
    <row r="328" spans="1:27">
      <c r="A328" s="43"/>
      <c r="C328" s="43"/>
      <c r="D328" s="43"/>
      <c r="E328" s="43"/>
      <c r="F328" s="43"/>
      <c r="G328" s="43"/>
      <c r="H328" s="43"/>
      <c r="I328" s="43"/>
      <c r="J328" s="43"/>
      <c r="K328" s="43"/>
      <c r="L328" s="43"/>
      <c r="M328" s="43"/>
      <c r="N328" s="43"/>
      <c r="O328" s="43"/>
      <c r="Q328" s="43"/>
      <c r="U328" s="606"/>
      <c r="AA328" s="585"/>
    </row>
    <row r="329" spans="1:27">
      <c r="A329" s="43"/>
      <c r="C329" s="43"/>
      <c r="D329" s="43"/>
      <c r="E329" s="43"/>
      <c r="F329" s="43"/>
      <c r="G329" s="43"/>
      <c r="H329" s="43"/>
      <c r="I329" s="43"/>
      <c r="J329" s="43"/>
      <c r="K329" s="43"/>
      <c r="L329" s="43"/>
      <c r="M329" s="43"/>
      <c r="N329" s="43"/>
      <c r="O329" s="43"/>
      <c r="Q329" s="43"/>
      <c r="U329" s="606"/>
      <c r="AA329" s="585"/>
    </row>
    <row r="330" spans="1:27">
      <c r="A330" s="43"/>
      <c r="C330" s="43"/>
      <c r="D330" s="43"/>
      <c r="E330" s="43"/>
      <c r="F330" s="43"/>
      <c r="G330" s="43"/>
      <c r="H330" s="43"/>
      <c r="I330" s="43"/>
      <c r="J330" s="43"/>
      <c r="K330" s="43"/>
      <c r="L330" s="43"/>
      <c r="M330" s="43"/>
      <c r="N330" s="43"/>
      <c r="O330" s="43"/>
      <c r="Q330" s="43"/>
      <c r="U330" s="606"/>
      <c r="AA330" s="585"/>
    </row>
    <row r="331" spans="1:27">
      <c r="A331" s="43"/>
      <c r="C331" s="43"/>
      <c r="D331" s="43"/>
      <c r="E331" s="43"/>
      <c r="F331" s="43"/>
      <c r="G331" s="43"/>
      <c r="H331" s="43"/>
      <c r="I331" s="43"/>
      <c r="J331" s="43"/>
      <c r="K331" s="43"/>
      <c r="L331" s="43"/>
      <c r="M331" s="43"/>
      <c r="N331" s="43"/>
      <c r="O331" s="43"/>
      <c r="Q331" s="43"/>
      <c r="U331" s="606"/>
      <c r="AA331" s="585"/>
    </row>
    <row r="332" spans="1:27">
      <c r="A332" s="43"/>
      <c r="C332" s="43"/>
      <c r="D332" s="43"/>
      <c r="E332" s="43"/>
      <c r="F332" s="43"/>
      <c r="G332" s="43"/>
      <c r="H332" s="43"/>
      <c r="I332" s="43"/>
      <c r="J332" s="43"/>
      <c r="K332" s="43"/>
      <c r="L332" s="43"/>
      <c r="M332" s="43"/>
      <c r="N332" s="43"/>
      <c r="O332" s="43"/>
      <c r="Q332" s="43"/>
      <c r="U332" s="606"/>
      <c r="AA332" s="585"/>
    </row>
    <row r="333" spans="1:27">
      <c r="A333" s="43"/>
      <c r="C333" s="43"/>
      <c r="D333" s="43"/>
      <c r="E333" s="43"/>
      <c r="F333" s="43"/>
      <c r="G333" s="43"/>
      <c r="H333" s="43"/>
      <c r="I333" s="43"/>
      <c r="J333" s="43"/>
      <c r="K333" s="43"/>
      <c r="L333" s="43"/>
      <c r="M333" s="43"/>
      <c r="N333" s="43"/>
      <c r="O333" s="43"/>
      <c r="Q333" s="43"/>
      <c r="U333" s="606"/>
      <c r="AA333" s="585"/>
    </row>
    <row r="334" spans="1:27">
      <c r="A334" s="43"/>
      <c r="C334" s="43"/>
      <c r="D334" s="43"/>
      <c r="E334" s="43"/>
      <c r="F334" s="43"/>
      <c r="G334" s="43"/>
      <c r="H334" s="43"/>
      <c r="I334" s="43"/>
      <c r="J334" s="43"/>
      <c r="K334" s="43"/>
      <c r="L334" s="43"/>
      <c r="M334" s="43"/>
      <c r="N334" s="43"/>
      <c r="O334" s="43"/>
      <c r="Q334" s="43"/>
      <c r="U334" s="606"/>
      <c r="AA334" s="585"/>
    </row>
    <row r="335" spans="1:27">
      <c r="A335" s="43"/>
      <c r="C335" s="43"/>
      <c r="D335" s="43"/>
      <c r="E335" s="43"/>
      <c r="F335" s="43"/>
      <c r="G335" s="43"/>
      <c r="H335" s="43"/>
      <c r="I335" s="43"/>
      <c r="J335" s="43"/>
      <c r="K335" s="43"/>
      <c r="L335" s="43"/>
      <c r="M335" s="43"/>
      <c r="N335" s="43"/>
      <c r="O335" s="43"/>
      <c r="Q335" s="43"/>
      <c r="U335" s="606"/>
      <c r="AA335" s="585"/>
    </row>
    <row r="336" spans="1:27">
      <c r="A336" s="43"/>
      <c r="C336" s="43"/>
      <c r="D336" s="43"/>
      <c r="E336" s="43"/>
      <c r="F336" s="43"/>
      <c r="G336" s="43"/>
      <c r="H336" s="43"/>
      <c r="I336" s="43"/>
      <c r="J336" s="43"/>
      <c r="K336" s="43"/>
      <c r="L336" s="43"/>
      <c r="M336" s="43"/>
      <c r="N336" s="43"/>
      <c r="O336" s="43"/>
      <c r="Q336" s="43"/>
      <c r="U336" s="606"/>
      <c r="AA336" s="585"/>
    </row>
    <row r="337" spans="1:27">
      <c r="A337" s="43"/>
      <c r="C337" s="43"/>
      <c r="D337" s="43"/>
      <c r="E337" s="43"/>
      <c r="F337" s="43"/>
      <c r="G337" s="43"/>
      <c r="H337" s="43"/>
      <c r="I337" s="43"/>
      <c r="J337" s="43"/>
      <c r="K337" s="43"/>
      <c r="L337" s="43"/>
      <c r="M337" s="43"/>
      <c r="N337" s="43"/>
      <c r="O337" s="43"/>
      <c r="Q337" s="43"/>
      <c r="U337" s="606"/>
      <c r="AA337" s="585"/>
    </row>
    <row r="338" spans="1:27">
      <c r="A338" s="43"/>
      <c r="C338" s="43"/>
      <c r="D338" s="43"/>
      <c r="E338" s="43"/>
      <c r="F338" s="43"/>
      <c r="G338" s="43"/>
      <c r="H338" s="43"/>
      <c r="I338" s="43"/>
      <c r="J338" s="43"/>
      <c r="K338" s="43"/>
      <c r="L338" s="43"/>
      <c r="M338" s="43"/>
      <c r="N338" s="43"/>
      <c r="O338" s="43"/>
      <c r="Q338" s="43"/>
      <c r="U338" s="606"/>
      <c r="AA338" s="585"/>
    </row>
    <row r="339" spans="1:27">
      <c r="A339" s="43"/>
      <c r="C339" s="43"/>
      <c r="D339" s="43"/>
      <c r="E339" s="43"/>
      <c r="F339" s="43"/>
      <c r="G339" s="43"/>
      <c r="H339" s="43"/>
      <c r="I339" s="43"/>
      <c r="J339" s="43"/>
      <c r="K339" s="43"/>
      <c r="L339" s="43"/>
      <c r="M339" s="43"/>
      <c r="N339" s="43"/>
      <c r="O339" s="43"/>
      <c r="Q339" s="43"/>
      <c r="U339" s="606"/>
      <c r="AA339" s="585"/>
    </row>
    <row r="340" spans="1:27">
      <c r="A340" s="43"/>
      <c r="C340" s="43"/>
      <c r="D340" s="43"/>
      <c r="E340" s="43"/>
      <c r="F340" s="43"/>
      <c r="G340" s="43"/>
      <c r="H340" s="43"/>
      <c r="I340" s="43"/>
      <c r="J340" s="43"/>
      <c r="K340" s="43"/>
      <c r="L340" s="43"/>
      <c r="M340" s="43"/>
      <c r="N340" s="43"/>
      <c r="O340" s="43"/>
      <c r="Q340" s="43"/>
      <c r="U340" s="606"/>
      <c r="AA340" s="585"/>
    </row>
    <row r="341" spans="1:27">
      <c r="A341" s="43"/>
      <c r="C341" s="43"/>
      <c r="D341" s="43"/>
      <c r="E341" s="43"/>
      <c r="F341" s="43"/>
      <c r="G341" s="43"/>
      <c r="H341" s="43"/>
      <c r="I341" s="43"/>
      <c r="J341" s="43"/>
      <c r="K341" s="43"/>
      <c r="L341" s="43"/>
      <c r="M341" s="43"/>
      <c r="N341" s="43"/>
      <c r="O341" s="43"/>
      <c r="Q341" s="43"/>
      <c r="U341" s="606"/>
      <c r="AA341" s="585"/>
    </row>
    <row r="342" spans="1:27">
      <c r="A342" s="43"/>
      <c r="C342" s="43"/>
      <c r="D342" s="43"/>
      <c r="E342" s="43"/>
      <c r="F342" s="43"/>
      <c r="G342" s="43"/>
      <c r="H342" s="43"/>
      <c r="I342" s="43"/>
      <c r="J342" s="43"/>
      <c r="K342" s="43"/>
      <c r="L342" s="43"/>
      <c r="M342" s="43"/>
      <c r="N342" s="43"/>
      <c r="O342" s="43"/>
      <c r="Q342" s="43"/>
      <c r="U342" s="606"/>
    </row>
    <row r="343" spans="1:27">
      <c r="A343" s="43"/>
      <c r="C343" s="43"/>
      <c r="D343" s="43"/>
      <c r="E343" s="43"/>
      <c r="F343" s="43"/>
      <c r="G343" s="43"/>
      <c r="H343" s="43"/>
      <c r="I343" s="43"/>
      <c r="J343" s="43"/>
      <c r="K343" s="43"/>
      <c r="L343" s="43"/>
      <c r="M343" s="43"/>
      <c r="N343" s="43"/>
      <c r="O343" s="43"/>
      <c r="Q343" s="43"/>
      <c r="U343" s="606"/>
    </row>
    <row r="344" spans="1:27">
      <c r="A344" s="43"/>
      <c r="C344" s="43"/>
      <c r="D344" s="43"/>
      <c r="E344" s="43"/>
      <c r="F344" s="43"/>
      <c r="G344" s="43"/>
      <c r="H344" s="43"/>
      <c r="I344" s="43"/>
      <c r="J344" s="43"/>
      <c r="K344" s="43"/>
      <c r="L344" s="43"/>
      <c r="M344" s="43"/>
      <c r="N344" s="43"/>
      <c r="O344" s="43"/>
      <c r="Q344" s="43"/>
      <c r="U344" s="606"/>
    </row>
    <row r="345" spans="1:27">
      <c r="A345" s="43"/>
      <c r="C345" s="43"/>
      <c r="D345" s="43"/>
      <c r="E345" s="43"/>
      <c r="F345" s="43"/>
      <c r="G345" s="43"/>
      <c r="H345" s="43"/>
      <c r="I345" s="43"/>
      <c r="J345" s="43"/>
      <c r="K345" s="43"/>
      <c r="L345" s="43"/>
      <c r="M345" s="43"/>
      <c r="N345" s="43"/>
      <c r="O345" s="43"/>
      <c r="Q345" s="43"/>
      <c r="U345" s="606"/>
    </row>
    <row r="346" spans="1:27">
      <c r="A346" s="43"/>
      <c r="C346" s="43"/>
      <c r="D346" s="43"/>
      <c r="E346" s="43"/>
      <c r="F346" s="43"/>
      <c r="G346" s="43"/>
      <c r="H346" s="43"/>
      <c r="I346" s="43"/>
      <c r="J346" s="43"/>
      <c r="K346" s="43"/>
      <c r="L346" s="43"/>
      <c r="M346" s="43"/>
      <c r="N346" s="43"/>
      <c r="O346" s="43"/>
      <c r="Q346" s="43"/>
      <c r="U346" s="606"/>
    </row>
    <row r="347" spans="1:27">
      <c r="A347" s="43"/>
      <c r="C347" s="43"/>
      <c r="D347" s="43"/>
      <c r="E347" s="43"/>
      <c r="F347" s="43"/>
      <c r="G347" s="43"/>
      <c r="H347" s="43"/>
      <c r="I347" s="43"/>
      <c r="J347" s="43"/>
      <c r="K347" s="43"/>
      <c r="L347" s="43"/>
      <c r="M347" s="43"/>
      <c r="N347" s="43"/>
      <c r="O347" s="43"/>
      <c r="Q347" s="43"/>
      <c r="U347" s="606"/>
    </row>
    <row r="348" spans="1:27">
      <c r="A348" s="43"/>
      <c r="C348" s="43"/>
      <c r="D348" s="43"/>
      <c r="E348" s="43"/>
      <c r="F348" s="43"/>
      <c r="G348" s="43"/>
      <c r="H348" s="43"/>
      <c r="I348" s="43"/>
      <c r="J348" s="43"/>
      <c r="K348" s="43"/>
      <c r="L348" s="43"/>
      <c r="M348" s="43"/>
      <c r="N348" s="43"/>
      <c r="O348" s="43"/>
      <c r="Q348" s="43"/>
      <c r="U348" s="606"/>
    </row>
    <row r="349" spans="1:27">
      <c r="A349" s="43"/>
      <c r="C349" s="43"/>
      <c r="D349" s="43"/>
      <c r="E349" s="43"/>
      <c r="F349" s="43"/>
      <c r="G349" s="43"/>
      <c r="H349" s="43"/>
      <c r="I349" s="43"/>
      <c r="J349" s="43"/>
      <c r="K349" s="43"/>
      <c r="L349" s="43"/>
      <c r="M349" s="43"/>
      <c r="N349" s="43"/>
      <c r="O349" s="43"/>
      <c r="Q349" s="43"/>
      <c r="U349" s="606"/>
    </row>
    <row r="350" spans="1:27">
      <c r="A350" s="43"/>
      <c r="C350" s="43"/>
      <c r="D350" s="43"/>
      <c r="E350" s="43"/>
      <c r="F350" s="43"/>
      <c r="G350" s="43"/>
      <c r="H350" s="43"/>
      <c r="I350" s="43"/>
      <c r="J350" s="43"/>
      <c r="K350" s="43"/>
      <c r="L350" s="43"/>
      <c r="M350" s="43"/>
      <c r="N350" s="43"/>
      <c r="O350" s="43"/>
      <c r="Q350" s="43"/>
      <c r="U350" s="606"/>
    </row>
    <row r="351" spans="1:27">
      <c r="A351" s="43"/>
      <c r="C351" s="43"/>
      <c r="D351" s="43"/>
      <c r="E351" s="43"/>
      <c r="F351" s="43"/>
      <c r="G351" s="43"/>
      <c r="H351" s="43"/>
      <c r="I351" s="43"/>
      <c r="J351" s="43"/>
      <c r="K351" s="43"/>
      <c r="L351" s="43"/>
      <c r="M351" s="43"/>
      <c r="N351" s="43"/>
      <c r="O351" s="43"/>
      <c r="Q351" s="43"/>
      <c r="U351" s="606"/>
    </row>
    <row r="352" spans="1:27">
      <c r="A352" s="43"/>
      <c r="C352" s="43"/>
      <c r="D352" s="43"/>
      <c r="E352" s="43"/>
      <c r="F352" s="43"/>
      <c r="G352" s="43"/>
      <c r="H352" s="43"/>
      <c r="I352" s="43"/>
      <c r="J352" s="43"/>
      <c r="K352" s="43"/>
      <c r="L352" s="43"/>
      <c r="M352" s="43"/>
      <c r="N352" s="43"/>
      <c r="O352" s="43"/>
      <c r="Q352" s="43"/>
      <c r="U352" s="606"/>
    </row>
    <row r="353" spans="1:21">
      <c r="A353" s="43"/>
      <c r="C353" s="43"/>
      <c r="D353" s="43"/>
      <c r="E353" s="43"/>
      <c r="F353" s="43"/>
      <c r="G353" s="43"/>
      <c r="H353" s="43"/>
      <c r="I353" s="43"/>
      <c r="J353" s="43"/>
      <c r="K353" s="43"/>
      <c r="L353" s="43"/>
      <c r="M353" s="43"/>
      <c r="N353" s="43"/>
      <c r="O353" s="43"/>
      <c r="Q353" s="43"/>
      <c r="U353" s="606"/>
    </row>
    <row r="354" spans="1:21">
      <c r="A354" s="43"/>
      <c r="C354" s="43"/>
      <c r="D354" s="43"/>
      <c r="E354" s="43"/>
      <c r="F354" s="43"/>
      <c r="G354" s="43"/>
      <c r="H354" s="43"/>
      <c r="I354" s="43"/>
      <c r="J354" s="43"/>
      <c r="K354" s="43"/>
      <c r="L354" s="43"/>
      <c r="M354" s="43"/>
      <c r="N354" s="43"/>
      <c r="O354" s="43"/>
      <c r="Q354" s="43"/>
      <c r="U354" s="606"/>
    </row>
    <row r="355" spans="1:21">
      <c r="A355" s="43"/>
      <c r="C355" s="43"/>
      <c r="D355" s="43"/>
      <c r="E355" s="43"/>
      <c r="F355" s="43"/>
      <c r="G355" s="43"/>
      <c r="H355" s="43"/>
      <c r="I355" s="43"/>
      <c r="J355" s="43"/>
      <c r="K355" s="43"/>
      <c r="L355" s="43"/>
      <c r="M355" s="43"/>
      <c r="N355" s="43"/>
      <c r="O355" s="43"/>
      <c r="Q355" s="43"/>
      <c r="U355" s="606"/>
    </row>
    <row r="356" spans="1:21">
      <c r="A356" s="43"/>
      <c r="C356" s="43"/>
      <c r="D356" s="43"/>
      <c r="E356" s="43"/>
      <c r="F356" s="43"/>
      <c r="G356" s="43"/>
      <c r="H356" s="43"/>
      <c r="I356" s="43"/>
      <c r="J356" s="43"/>
      <c r="K356" s="43"/>
      <c r="L356" s="43"/>
      <c r="M356" s="43"/>
      <c r="N356" s="43"/>
      <c r="O356" s="43"/>
      <c r="Q356" s="43"/>
      <c r="U356" s="606"/>
    </row>
    <row r="357" spans="1:21">
      <c r="A357" s="43"/>
      <c r="C357" s="43"/>
      <c r="D357" s="43"/>
      <c r="E357" s="43"/>
      <c r="F357" s="43"/>
      <c r="G357" s="43"/>
      <c r="H357" s="43"/>
      <c r="I357" s="43"/>
      <c r="J357" s="43"/>
      <c r="K357" s="43"/>
      <c r="L357" s="43"/>
      <c r="M357" s="43"/>
      <c r="N357" s="43"/>
      <c r="O357" s="43"/>
      <c r="Q357" s="43"/>
      <c r="U357" s="606"/>
    </row>
    <row r="358" spans="1:21">
      <c r="A358" s="43"/>
      <c r="C358" s="43"/>
      <c r="D358" s="43"/>
      <c r="E358" s="43"/>
      <c r="F358" s="43"/>
      <c r="G358" s="43"/>
      <c r="H358" s="43"/>
      <c r="I358" s="43"/>
      <c r="J358" s="43"/>
      <c r="K358" s="43"/>
      <c r="L358" s="43"/>
      <c r="M358" s="43"/>
      <c r="N358" s="43"/>
      <c r="O358" s="43"/>
      <c r="Q358" s="43"/>
      <c r="U358" s="606"/>
    </row>
    <row r="359" spans="1:21">
      <c r="A359" s="43"/>
      <c r="C359" s="43"/>
      <c r="D359" s="43"/>
      <c r="E359" s="43"/>
      <c r="F359" s="43"/>
      <c r="G359" s="43"/>
      <c r="H359" s="43"/>
      <c r="I359" s="43"/>
      <c r="J359" s="43"/>
      <c r="K359" s="43"/>
      <c r="L359" s="43"/>
      <c r="M359" s="43"/>
      <c r="N359" s="43"/>
      <c r="O359" s="43"/>
      <c r="Q359" s="43"/>
      <c r="U359" s="606"/>
    </row>
    <row r="360" spans="1:21">
      <c r="A360" s="43"/>
      <c r="C360" s="43"/>
      <c r="D360" s="43"/>
      <c r="E360" s="43"/>
      <c r="F360" s="43"/>
      <c r="G360" s="43"/>
      <c r="H360" s="43"/>
      <c r="I360" s="43"/>
      <c r="J360" s="43"/>
      <c r="K360" s="43"/>
      <c r="L360" s="43"/>
      <c r="M360" s="43"/>
      <c r="N360" s="43"/>
      <c r="O360" s="43"/>
      <c r="Q360" s="43"/>
      <c r="U360" s="606"/>
    </row>
    <row r="361" spans="1:21">
      <c r="A361" s="43"/>
      <c r="C361" s="43"/>
      <c r="D361" s="43"/>
      <c r="E361" s="43"/>
      <c r="F361" s="43"/>
      <c r="G361" s="43"/>
      <c r="H361" s="43"/>
      <c r="I361" s="43"/>
      <c r="J361" s="43"/>
      <c r="K361" s="43"/>
      <c r="L361" s="43"/>
      <c r="M361" s="43"/>
      <c r="N361" s="43"/>
      <c r="O361" s="43"/>
      <c r="Q361" s="43"/>
      <c r="U361" s="606"/>
    </row>
    <row r="362" spans="1:21">
      <c r="A362" s="43"/>
      <c r="C362" s="43"/>
      <c r="D362" s="43"/>
      <c r="E362" s="43"/>
      <c r="F362" s="43"/>
      <c r="G362" s="43"/>
      <c r="H362" s="43"/>
      <c r="I362" s="43"/>
      <c r="J362" s="43"/>
      <c r="K362" s="43"/>
      <c r="L362" s="43"/>
      <c r="M362" s="43"/>
      <c r="N362" s="43"/>
      <c r="O362" s="43"/>
      <c r="Q362" s="43"/>
      <c r="U362" s="606"/>
    </row>
    <row r="363" spans="1:21">
      <c r="A363" s="43"/>
      <c r="C363" s="43"/>
      <c r="D363" s="43"/>
      <c r="E363" s="43"/>
      <c r="F363" s="43"/>
      <c r="G363" s="43"/>
      <c r="H363" s="43"/>
      <c r="I363" s="43"/>
      <c r="J363" s="43"/>
      <c r="K363" s="43"/>
      <c r="L363" s="43"/>
      <c r="M363" s="43"/>
      <c r="N363" s="43"/>
      <c r="O363" s="43"/>
      <c r="Q363" s="43"/>
      <c r="U363" s="606"/>
    </row>
    <row r="364" spans="1:21">
      <c r="A364" s="43"/>
      <c r="C364" s="43"/>
      <c r="D364" s="43"/>
      <c r="E364" s="43"/>
      <c r="F364" s="43"/>
      <c r="G364" s="43"/>
      <c r="H364" s="43"/>
      <c r="I364" s="43"/>
      <c r="J364" s="43"/>
      <c r="K364" s="43"/>
      <c r="L364" s="43"/>
      <c r="M364" s="43"/>
      <c r="N364" s="43"/>
      <c r="O364" s="43"/>
      <c r="Q364" s="43"/>
      <c r="U364" s="606"/>
    </row>
    <row r="365" spans="1:21">
      <c r="A365" s="43"/>
      <c r="C365" s="43"/>
      <c r="D365" s="43"/>
      <c r="E365" s="43"/>
      <c r="F365" s="43"/>
      <c r="G365" s="43"/>
      <c r="H365" s="43"/>
      <c r="I365" s="43"/>
      <c r="J365" s="43"/>
      <c r="K365" s="43"/>
      <c r="L365" s="43"/>
      <c r="M365" s="43"/>
      <c r="N365" s="43"/>
      <c r="O365" s="43"/>
      <c r="Q365" s="43"/>
      <c r="U365" s="606"/>
    </row>
    <row r="366" spans="1:21">
      <c r="A366" s="43"/>
      <c r="C366" s="43"/>
      <c r="D366" s="43"/>
      <c r="E366" s="43"/>
      <c r="F366" s="43"/>
      <c r="G366" s="43"/>
      <c r="H366" s="43"/>
      <c r="I366" s="43"/>
      <c r="J366" s="43"/>
      <c r="K366" s="43"/>
      <c r="L366" s="43"/>
      <c r="M366" s="43"/>
      <c r="N366" s="43"/>
      <c r="O366" s="43"/>
      <c r="Q366" s="43"/>
      <c r="U366" s="606"/>
    </row>
    <row r="367" spans="1:21">
      <c r="A367" s="43"/>
      <c r="C367" s="43"/>
      <c r="D367" s="43"/>
      <c r="E367" s="43"/>
      <c r="F367" s="43"/>
      <c r="G367" s="43"/>
      <c r="H367" s="43"/>
      <c r="I367" s="43"/>
      <c r="J367" s="43"/>
      <c r="K367" s="43"/>
      <c r="L367" s="43"/>
      <c r="M367" s="43"/>
      <c r="N367" s="43"/>
      <c r="O367" s="43"/>
      <c r="Q367" s="43"/>
      <c r="U367" s="606"/>
    </row>
    <row r="368" spans="1:21">
      <c r="A368" s="43"/>
      <c r="C368" s="43"/>
      <c r="D368" s="43"/>
      <c r="E368" s="43"/>
      <c r="F368" s="43"/>
      <c r="G368" s="43"/>
      <c r="H368" s="43"/>
      <c r="I368" s="43"/>
      <c r="J368" s="43"/>
      <c r="K368" s="43"/>
      <c r="L368" s="43"/>
      <c r="M368" s="43"/>
      <c r="N368" s="43"/>
      <c r="O368" s="43"/>
      <c r="Q368" s="43"/>
      <c r="U368" s="606"/>
    </row>
    <row r="369" spans="1:21">
      <c r="A369" s="43"/>
      <c r="C369" s="43"/>
      <c r="D369" s="43"/>
      <c r="E369" s="43"/>
      <c r="F369" s="43"/>
      <c r="G369" s="43"/>
      <c r="H369" s="43"/>
      <c r="I369" s="43"/>
      <c r="J369" s="43"/>
      <c r="K369" s="43"/>
      <c r="L369" s="43"/>
      <c r="M369" s="43"/>
      <c r="N369" s="43"/>
      <c r="O369" s="43"/>
      <c r="Q369" s="43"/>
      <c r="U369" s="606"/>
    </row>
    <row r="370" spans="1:21">
      <c r="A370" s="43"/>
      <c r="C370" s="43"/>
      <c r="D370" s="43"/>
      <c r="E370" s="43"/>
      <c r="F370" s="43"/>
      <c r="G370" s="43"/>
      <c r="H370" s="43"/>
      <c r="I370" s="43"/>
      <c r="J370" s="43"/>
      <c r="K370" s="43"/>
      <c r="L370" s="43"/>
      <c r="M370" s="43"/>
      <c r="N370" s="43"/>
      <c r="O370" s="43"/>
      <c r="Q370" s="43"/>
      <c r="U370" s="606"/>
    </row>
    <row r="371" spans="1:21">
      <c r="A371" s="43"/>
      <c r="C371" s="43"/>
      <c r="D371" s="43"/>
      <c r="E371" s="43"/>
      <c r="F371" s="43"/>
      <c r="G371" s="43"/>
      <c r="H371" s="43"/>
      <c r="I371" s="43"/>
      <c r="J371" s="43"/>
      <c r="K371" s="43"/>
      <c r="L371" s="43"/>
      <c r="M371" s="43"/>
      <c r="N371" s="43"/>
      <c r="O371" s="43"/>
      <c r="Q371" s="43"/>
      <c r="U371" s="606"/>
    </row>
    <row r="372" spans="1:21">
      <c r="A372" s="43"/>
      <c r="C372" s="43"/>
      <c r="D372" s="43"/>
      <c r="E372" s="43"/>
      <c r="F372" s="43"/>
      <c r="G372" s="43"/>
      <c r="H372" s="43"/>
      <c r="I372" s="43"/>
      <c r="J372" s="43"/>
      <c r="K372" s="43"/>
      <c r="L372" s="43"/>
      <c r="M372" s="43"/>
      <c r="N372" s="43"/>
      <c r="O372" s="43"/>
      <c r="Q372" s="43"/>
      <c r="U372" s="606"/>
    </row>
    <row r="373" spans="1:21">
      <c r="A373" s="43"/>
      <c r="C373" s="43"/>
      <c r="D373" s="43"/>
      <c r="E373" s="43"/>
      <c r="F373" s="43"/>
      <c r="G373" s="43"/>
      <c r="H373" s="43"/>
      <c r="I373" s="43"/>
      <c r="J373" s="43"/>
      <c r="K373" s="43"/>
      <c r="L373" s="43"/>
      <c r="M373" s="43"/>
      <c r="N373" s="43"/>
      <c r="O373" s="43"/>
      <c r="Q373" s="43"/>
      <c r="U373" s="606"/>
    </row>
    <row r="374" spans="1:21">
      <c r="A374" s="43"/>
      <c r="C374" s="43"/>
      <c r="D374" s="43"/>
      <c r="E374" s="43"/>
      <c r="F374" s="43"/>
      <c r="G374" s="43"/>
      <c r="H374" s="43"/>
      <c r="I374" s="43"/>
      <c r="J374" s="43"/>
      <c r="K374" s="43"/>
      <c r="L374" s="43"/>
      <c r="M374" s="43"/>
      <c r="N374" s="43"/>
      <c r="O374" s="43"/>
      <c r="Q374" s="43"/>
      <c r="U374" s="606"/>
    </row>
    <row r="375" spans="1:21">
      <c r="A375" s="43"/>
      <c r="C375" s="43"/>
      <c r="D375" s="43"/>
      <c r="E375" s="43"/>
      <c r="F375" s="43"/>
      <c r="G375" s="43"/>
      <c r="H375" s="43"/>
      <c r="I375" s="43"/>
      <c r="J375" s="43"/>
      <c r="K375" s="43"/>
      <c r="L375" s="43"/>
      <c r="M375" s="43"/>
      <c r="N375" s="43"/>
      <c r="O375" s="43"/>
      <c r="Q375" s="43"/>
      <c r="U375" s="606"/>
    </row>
    <row r="376" spans="1:21">
      <c r="A376" s="43"/>
      <c r="C376" s="43"/>
      <c r="D376" s="43"/>
      <c r="E376" s="43"/>
      <c r="F376" s="43"/>
      <c r="G376" s="43"/>
      <c r="H376" s="43"/>
      <c r="I376" s="43"/>
      <c r="J376" s="43"/>
      <c r="K376" s="43"/>
      <c r="L376" s="43"/>
      <c r="M376" s="43"/>
      <c r="N376" s="43"/>
      <c r="O376" s="43"/>
      <c r="Q376" s="43"/>
      <c r="U376" s="606"/>
    </row>
    <row r="377" spans="1:21">
      <c r="A377" s="43"/>
      <c r="C377" s="43"/>
      <c r="D377" s="43"/>
      <c r="E377" s="43"/>
      <c r="F377" s="43"/>
      <c r="G377" s="43"/>
      <c r="H377" s="43"/>
      <c r="I377" s="43"/>
      <c r="J377" s="43"/>
      <c r="K377" s="43"/>
      <c r="L377" s="43"/>
      <c r="M377" s="43"/>
      <c r="N377" s="43"/>
      <c r="O377" s="43"/>
      <c r="Q377" s="43"/>
      <c r="U377" s="606"/>
    </row>
    <row r="378" spans="1:21">
      <c r="A378" s="43"/>
      <c r="C378" s="43"/>
      <c r="D378" s="43"/>
      <c r="E378" s="43"/>
      <c r="F378" s="43"/>
      <c r="G378" s="43"/>
      <c r="H378" s="43"/>
      <c r="I378" s="43"/>
      <c r="J378" s="43"/>
      <c r="K378" s="43"/>
      <c r="L378" s="43"/>
      <c r="M378" s="43"/>
      <c r="N378" s="43"/>
      <c r="O378" s="43"/>
      <c r="Q378" s="43"/>
      <c r="U378" s="606"/>
    </row>
    <row r="379" spans="1:21">
      <c r="A379" s="43"/>
      <c r="C379" s="43"/>
      <c r="D379" s="43"/>
      <c r="E379" s="43"/>
      <c r="F379" s="43"/>
      <c r="G379" s="43"/>
      <c r="H379" s="43"/>
      <c r="I379" s="43"/>
      <c r="J379" s="43"/>
      <c r="K379" s="43"/>
      <c r="L379" s="43"/>
      <c r="M379" s="43"/>
      <c r="N379" s="43"/>
      <c r="O379" s="43"/>
      <c r="Q379" s="43"/>
      <c r="U379" s="606"/>
    </row>
    <row r="380" spans="1:21">
      <c r="A380" s="43"/>
      <c r="C380" s="43"/>
      <c r="D380" s="43"/>
      <c r="E380" s="43"/>
      <c r="F380" s="43"/>
      <c r="G380" s="43"/>
      <c r="H380" s="43"/>
      <c r="I380" s="43"/>
      <c r="J380" s="43"/>
      <c r="K380" s="43"/>
      <c r="L380" s="43"/>
      <c r="M380" s="43"/>
      <c r="N380" s="43"/>
      <c r="O380" s="43"/>
      <c r="Q380" s="43"/>
      <c r="U380" s="606"/>
    </row>
    <row r="381" spans="1:21">
      <c r="A381" s="43"/>
      <c r="C381" s="43"/>
      <c r="D381" s="43"/>
      <c r="E381" s="43"/>
      <c r="F381" s="43"/>
      <c r="G381" s="43"/>
      <c r="H381" s="43"/>
      <c r="I381" s="43"/>
      <c r="J381" s="43"/>
      <c r="K381" s="43"/>
      <c r="L381" s="43"/>
      <c r="M381" s="43"/>
      <c r="N381" s="43"/>
      <c r="O381" s="43"/>
      <c r="Q381" s="43"/>
      <c r="U381" s="606"/>
    </row>
    <row r="382" spans="1:21">
      <c r="A382" s="43"/>
      <c r="C382" s="43"/>
      <c r="D382" s="43"/>
      <c r="E382" s="43"/>
      <c r="F382" s="43"/>
      <c r="G382" s="43"/>
      <c r="H382" s="43"/>
      <c r="I382" s="43"/>
      <c r="J382" s="43"/>
      <c r="K382" s="43"/>
      <c r="L382" s="43"/>
      <c r="M382" s="43"/>
      <c r="N382" s="43"/>
      <c r="O382" s="43"/>
      <c r="Q382" s="43"/>
      <c r="U382" s="606"/>
    </row>
    <row r="383" spans="1:21">
      <c r="A383" s="43"/>
      <c r="C383" s="43"/>
      <c r="D383" s="43"/>
      <c r="E383" s="43"/>
      <c r="F383" s="43"/>
      <c r="G383" s="43"/>
      <c r="H383" s="43"/>
      <c r="I383" s="43"/>
      <c r="J383" s="43"/>
      <c r="K383" s="43"/>
      <c r="L383" s="43"/>
      <c r="M383" s="43"/>
      <c r="N383" s="43"/>
      <c r="O383" s="43"/>
      <c r="Q383" s="43"/>
      <c r="U383" s="606"/>
    </row>
    <row r="384" spans="1:21">
      <c r="A384" s="43"/>
      <c r="C384" s="43"/>
      <c r="D384" s="43"/>
      <c r="E384" s="43"/>
      <c r="F384" s="43"/>
      <c r="G384" s="43"/>
      <c r="H384" s="43"/>
      <c r="I384" s="43"/>
      <c r="J384" s="43"/>
      <c r="K384" s="43"/>
      <c r="L384" s="43"/>
      <c r="M384" s="43"/>
      <c r="N384" s="43"/>
      <c r="O384" s="43"/>
      <c r="Q384" s="43"/>
      <c r="U384" s="606"/>
    </row>
    <row r="385" spans="1:21">
      <c r="A385" s="43"/>
      <c r="C385" s="43"/>
      <c r="D385" s="43"/>
      <c r="E385" s="43"/>
      <c r="F385" s="43"/>
      <c r="G385" s="43"/>
      <c r="H385" s="43"/>
      <c r="I385" s="43"/>
      <c r="J385" s="43"/>
      <c r="K385" s="43"/>
      <c r="L385" s="43"/>
      <c r="M385" s="43"/>
      <c r="N385" s="43"/>
      <c r="O385" s="43"/>
      <c r="Q385" s="43"/>
      <c r="U385" s="606"/>
    </row>
    <row r="386" spans="1:21">
      <c r="A386" s="43"/>
      <c r="C386" s="43"/>
      <c r="D386" s="43"/>
      <c r="E386" s="43"/>
      <c r="F386" s="43"/>
      <c r="G386" s="43"/>
      <c r="H386" s="43"/>
      <c r="I386" s="43"/>
      <c r="J386" s="43"/>
      <c r="K386" s="43"/>
      <c r="L386" s="43"/>
      <c r="M386" s="43"/>
      <c r="N386" s="43"/>
      <c r="O386" s="43"/>
      <c r="Q386" s="43"/>
      <c r="U386" s="606"/>
    </row>
    <row r="387" spans="1:21">
      <c r="A387" s="43"/>
      <c r="C387" s="43"/>
      <c r="D387" s="43"/>
      <c r="E387" s="43"/>
      <c r="F387" s="43"/>
      <c r="G387" s="43"/>
      <c r="H387" s="43"/>
      <c r="I387" s="43"/>
      <c r="J387" s="43"/>
      <c r="K387" s="43"/>
      <c r="L387" s="43"/>
      <c r="M387" s="43"/>
      <c r="N387" s="43"/>
      <c r="O387" s="43"/>
      <c r="Q387" s="43"/>
      <c r="U387" s="606"/>
    </row>
    <row r="388" spans="1:21">
      <c r="A388" s="43"/>
      <c r="C388" s="43"/>
      <c r="D388" s="43"/>
      <c r="E388" s="43"/>
      <c r="F388" s="43"/>
      <c r="G388" s="43"/>
      <c r="H388" s="43"/>
      <c r="I388" s="43"/>
      <c r="J388" s="43"/>
      <c r="K388" s="43"/>
      <c r="L388" s="43"/>
      <c r="M388" s="43"/>
      <c r="N388" s="43"/>
      <c r="O388" s="43"/>
      <c r="Q388" s="43"/>
      <c r="U388" s="606"/>
    </row>
    <row r="389" spans="1:21">
      <c r="A389" s="43"/>
      <c r="C389" s="43"/>
      <c r="D389" s="43"/>
      <c r="E389" s="43"/>
      <c r="F389" s="43"/>
      <c r="G389" s="43"/>
      <c r="H389" s="43"/>
      <c r="I389" s="43"/>
      <c r="J389" s="43"/>
      <c r="K389" s="43"/>
      <c r="L389" s="43"/>
      <c r="M389" s="43"/>
      <c r="N389" s="43"/>
      <c r="O389" s="43"/>
      <c r="Q389" s="43"/>
      <c r="U389" s="606"/>
    </row>
    <row r="390" spans="1:21">
      <c r="A390" s="43"/>
      <c r="C390" s="43"/>
      <c r="D390" s="43"/>
      <c r="E390" s="43"/>
      <c r="F390" s="43"/>
      <c r="G390" s="43"/>
      <c r="H390" s="43"/>
      <c r="I390" s="43"/>
      <c r="J390" s="43"/>
      <c r="K390" s="43"/>
      <c r="L390" s="43"/>
      <c r="M390" s="43"/>
      <c r="N390" s="43"/>
      <c r="O390" s="43"/>
      <c r="Q390" s="43"/>
      <c r="U390" s="606"/>
    </row>
    <row r="391" spans="1:21">
      <c r="A391" s="43"/>
      <c r="C391" s="43"/>
      <c r="D391" s="43"/>
      <c r="E391" s="43"/>
      <c r="F391" s="43"/>
      <c r="G391" s="43"/>
      <c r="H391" s="43"/>
      <c r="I391" s="43"/>
      <c r="J391" s="43"/>
      <c r="K391" s="43"/>
      <c r="L391" s="43"/>
      <c r="M391" s="43"/>
      <c r="N391" s="43"/>
      <c r="O391" s="43"/>
      <c r="Q391" s="43"/>
      <c r="U391" s="606"/>
    </row>
    <row r="392" spans="1:21">
      <c r="A392" s="43"/>
      <c r="C392" s="43"/>
      <c r="D392" s="43"/>
      <c r="E392" s="43"/>
      <c r="F392" s="43"/>
      <c r="G392" s="43"/>
      <c r="H392" s="43"/>
      <c r="I392" s="43"/>
      <c r="J392" s="43"/>
      <c r="K392" s="43"/>
      <c r="L392" s="43"/>
      <c r="M392" s="43"/>
      <c r="N392" s="43"/>
      <c r="O392" s="43"/>
      <c r="Q392" s="43"/>
      <c r="U392" s="606"/>
    </row>
    <row r="393" spans="1:21">
      <c r="A393" s="43"/>
      <c r="C393" s="43"/>
      <c r="D393" s="43"/>
      <c r="E393" s="43"/>
      <c r="F393" s="43"/>
      <c r="G393" s="43"/>
      <c r="H393" s="43"/>
      <c r="I393" s="43"/>
      <c r="J393" s="43"/>
      <c r="K393" s="43"/>
      <c r="L393" s="43"/>
      <c r="M393" s="43"/>
      <c r="N393" s="43"/>
      <c r="O393" s="43"/>
      <c r="Q393" s="43"/>
      <c r="U393" s="606"/>
    </row>
    <row r="394" spans="1:21">
      <c r="A394" s="43"/>
      <c r="C394" s="43"/>
      <c r="D394" s="43"/>
      <c r="E394" s="43"/>
      <c r="F394" s="43"/>
      <c r="G394" s="43"/>
      <c r="H394" s="43"/>
      <c r="I394" s="43"/>
      <c r="J394" s="43"/>
      <c r="K394" s="43"/>
      <c r="L394" s="43"/>
      <c r="M394" s="43"/>
      <c r="N394" s="43"/>
      <c r="O394" s="43"/>
      <c r="Q394" s="43"/>
      <c r="U394" s="606"/>
    </row>
    <row r="395" spans="1:21">
      <c r="A395" s="43"/>
      <c r="C395" s="43"/>
      <c r="D395" s="43"/>
      <c r="E395" s="43"/>
      <c r="F395" s="43"/>
      <c r="G395" s="43"/>
      <c r="H395" s="43"/>
      <c r="I395" s="43"/>
      <c r="J395" s="43"/>
      <c r="K395" s="43"/>
      <c r="L395" s="43"/>
      <c r="M395" s="43"/>
      <c r="N395" s="43"/>
      <c r="O395" s="43"/>
      <c r="Q395" s="43"/>
      <c r="U395" s="606"/>
    </row>
    <row r="396" spans="1:21">
      <c r="A396" s="43"/>
      <c r="C396" s="43"/>
      <c r="D396" s="43"/>
      <c r="E396" s="43"/>
      <c r="F396" s="43"/>
      <c r="G396" s="43"/>
      <c r="H396" s="43"/>
      <c r="I396" s="43"/>
      <c r="J396" s="43"/>
      <c r="K396" s="43"/>
      <c r="L396" s="43"/>
      <c r="M396" s="43"/>
      <c r="N396" s="43"/>
      <c r="O396" s="43"/>
      <c r="Q396" s="43"/>
      <c r="U396" s="606"/>
    </row>
    <row r="397" spans="1:21">
      <c r="A397" s="43"/>
      <c r="C397" s="43"/>
      <c r="D397" s="43"/>
      <c r="E397" s="43"/>
      <c r="F397" s="43"/>
      <c r="G397" s="43"/>
      <c r="H397" s="43"/>
      <c r="I397" s="43"/>
      <c r="J397" s="43"/>
      <c r="K397" s="43"/>
      <c r="L397" s="43"/>
      <c r="M397" s="43"/>
      <c r="N397" s="43"/>
      <c r="O397" s="43"/>
      <c r="Q397" s="43"/>
      <c r="U397" s="606"/>
    </row>
    <row r="398" spans="1:21">
      <c r="A398" s="43"/>
      <c r="C398" s="43"/>
      <c r="D398" s="43"/>
      <c r="E398" s="43"/>
      <c r="F398" s="43"/>
      <c r="G398" s="43"/>
      <c r="H398" s="43"/>
      <c r="I398" s="43"/>
      <c r="J398" s="43"/>
      <c r="K398" s="43"/>
      <c r="L398" s="43"/>
      <c r="M398" s="43"/>
      <c r="N398" s="43"/>
      <c r="O398" s="43"/>
      <c r="Q398" s="43"/>
      <c r="U398" s="606"/>
    </row>
    <row r="399" spans="1:21">
      <c r="A399" s="43"/>
      <c r="C399" s="43"/>
      <c r="D399" s="43"/>
      <c r="E399" s="43"/>
      <c r="F399" s="43"/>
      <c r="G399" s="43"/>
      <c r="H399" s="43"/>
      <c r="I399" s="43"/>
      <c r="J399" s="43"/>
      <c r="K399" s="43"/>
      <c r="L399" s="43"/>
      <c r="M399" s="43"/>
      <c r="N399" s="43"/>
      <c r="O399" s="43"/>
      <c r="Q399" s="43"/>
      <c r="U399" s="606"/>
    </row>
    <row r="400" spans="1:21">
      <c r="A400" s="43"/>
      <c r="C400" s="43"/>
      <c r="D400" s="43"/>
      <c r="E400" s="43"/>
      <c r="F400" s="43"/>
      <c r="G400" s="43"/>
      <c r="H400" s="43"/>
      <c r="I400" s="43"/>
      <c r="J400" s="43"/>
      <c r="K400" s="43"/>
      <c r="L400" s="43"/>
      <c r="M400" s="43"/>
      <c r="N400" s="43"/>
      <c r="O400" s="43"/>
      <c r="Q400" s="43"/>
      <c r="U400" s="606"/>
    </row>
    <row r="401" spans="1:21">
      <c r="A401" s="43"/>
      <c r="C401" s="43"/>
      <c r="D401" s="43"/>
      <c r="E401" s="43"/>
      <c r="F401" s="43"/>
      <c r="G401" s="43"/>
      <c r="H401" s="43"/>
      <c r="I401" s="43"/>
      <c r="J401" s="43"/>
      <c r="K401" s="43"/>
      <c r="L401" s="43"/>
      <c r="M401" s="43"/>
      <c r="N401" s="43"/>
      <c r="O401" s="43"/>
      <c r="Q401" s="43"/>
      <c r="U401" s="606"/>
    </row>
    <row r="402" spans="1:21">
      <c r="A402" s="43"/>
      <c r="C402" s="43"/>
      <c r="D402" s="43"/>
      <c r="E402" s="43"/>
      <c r="F402" s="43"/>
      <c r="G402" s="43"/>
      <c r="H402" s="43"/>
      <c r="I402" s="43"/>
      <c r="J402" s="43"/>
      <c r="K402" s="43"/>
      <c r="L402" s="43"/>
      <c r="M402" s="43"/>
      <c r="N402" s="43"/>
      <c r="O402" s="43"/>
      <c r="Q402" s="43"/>
      <c r="U402" s="606"/>
    </row>
    <row r="403" spans="1:21">
      <c r="A403" s="43"/>
      <c r="C403" s="43"/>
      <c r="D403" s="43"/>
      <c r="E403" s="43"/>
      <c r="F403" s="43"/>
      <c r="G403" s="43"/>
      <c r="H403" s="43"/>
      <c r="I403" s="43"/>
      <c r="J403" s="43"/>
      <c r="K403" s="43"/>
      <c r="L403" s="43"/>
      <c r="M403" s="43"/>
      <c r="N403" s="43"/>
      <c r="O403" s="43"/>
      <c r="Q403" s="43"/>
      <c r="U403" s="606"/>
    </row>
    <row r="404" spans="1:21">
      <c r="A404" s="43"/>
      <c r="C404" s="43"/>
      <c r="D404" s="43"/>
      <c r="E404" s="43"/>
      <c r="F404" s="43"/>
      <c r="G404" s="43"/>
      <c r="H404" s="43"/>
      <c r="I404" s="43"/>
      <c r="J404" s="43"/>
      <c r="K404" s="43"/>
      <c r="L404" s="43"/>
      <c r="M404" s="43"/>
      <c r="N404" s="43"/>
      <c r="O404" s="43"/>
      <c r="Q404" s="43"/>
      <c r="U404" s="606"/>
    </row>
    <row r="405" spans="1:21">
      <c r="A405" s="43"/>
      <c r="C405" s="43"/>
      <c r="D405" s="43"/>
      <c r="E405" s="43"/>
      <c r="F405" s="43"/>
      <c r="G405" s="43"/>
      <c r="H405" s="43"/>
      <c r="I405" s="43"/>
      <c r="J405" s="43"/>
      <c r="K405" s="43"/>
      <c r="L405" s="43"/>
      <c r="M405" s="43"/>
      <c r="N405" s="43"/>
      <c r="O405" s="43"/>
      <c r="Q405" s="43"/>
      <c r="U405" s="606"/>
    </row>
    <row r="406" spans="1:21">
      <c r="A406" s="43"/>
      <c r="C406" s="43"/>
      <c r="D406" s="43"/>
      <c r="E406" s="43"/>
      <c r="F406" s="43"/>
      <c r="G406" s="43"/>
      <c r="H406" s="43"/>
      <c r="I406" s="43"/>
      <c r="J406" s="43"/>
      <c r="K406" s="43"/>
      <c r="L406" s="43"/>
      <c r="M406" s="43"/>
      <c r="N406" s="43"/>
      <c r="O406" s="43"/>
      <c r="Q406" s="43"/>
      <c r="U406" s="606"/>
    </row>
    <row r="407" spans="1:21">
      <c r="A407" s="43"/>
      <c r="C407" s="43"/>
      <c r="D407" s="43"/>
      <c r="E407" s="43"/>
      <c r="F407" s="43"/>
      <c r="G407" s="43"/>
      <c r="H407" s="43"/>
      <c r="I407" s="43"/>
      <c r="J407" s="43"/>
      <c r="K407" s="43"/>
      <c r="L407" s="43"/>
      <c r="M407" s="43"/>
      <c r="N407" s="43"/>
      <c r="O407" s="43"/>
      <c r="Q407" s="43"/>
      <c r="U407" s="606"/>
    </row>
    <row r="408" spans="1:21">
      <c r="A408" s="43"/>
      <c r="C408" s="43"/>
      <c r="D408" s="43"/>
      <c r="E408" s="43"/>
      <c r="F408" s="43"/>
      <c r="G408" s="43"/>
      <c r="H408" s="43"/>
      <c r="I408" s="43"/>
      <c r="J408" s="43"/>
      <c r="K408" s="43"/>
      <c r="L408" s="43"/>
      <c r="M408" s="43"/>
      <c r="N408" s="43"/>
      <c r="O408" s="43"/>
      <c r="Q408" s="43"/>
      <c r="U408" s="606"/>
    </row>
    <row r="409" spans="1:21">
      <c r="A409" s="43"/>
      <c r="C409" s="43"/>
      <c r="D409" s="43"/>
      <c r="E409" s="43"/>
      <c r="F409" s="43"/>
      <c r="G409" s="43"/>
      <c r="H409" s="43"/>
      <c r="I409" s="43"/>
      <c r="J409" s="43"/>
      <c r="K409" s="43"/>
      <c r="L409" s="43"/>
      <c r="M409" s="43"/>
      <c r="N409" s="43"/>
      <c r="O409" s="43"/>
      <c r="Q409" s="43"/>
      <c r="U409" s="606"/>
    </row>
    <row r="410" spans="1:21">
      <c r="A410" s="43"/>
      <c r="C410" s="43"/>
      <c r="D410" s="43"/>
      <c r="E410" s="43"/>
      <c r="F410" s="43"/>
      <c r="G410" s="43"/>
      <c r="H410" s="43"/>
      <c r="I410" s="43"/>
      <c r="J410" s="43"/>
      <c r="K410" s="43"/>
      <c r="L410" s="43"/>
      <c r="M410" s="43"/>
      <c r="N410" s="43"/>
      <c r="O410" s="43"/>
      <c r="Q410" s="43"/>
      <c r="U410" s="606"/>
    </row>
    <row r="411" spans="1:21">
      <c r="A411" s="43"/>
      <c r="C411" s="43"/>
      <c r="D411" s="43"/>
      <c r="E411" s="43"/>
      <c r="F411" s="43"/>
      <c r="G411" s="43"/>
      <c r="H411" s="43"/>
      <c r="I411" s="43"/>
      <c r="J411" s="43"/>
      <c r="K411" s="43"/>
      <c r="L411" s="43"/>
      <c r="M411" s="43"/>
      <c r="N411" s="43"/>
      <c r="O411" s="43"/>
      <c r="Q411" s="43"/>
      <c r="U411" s="606"/>
    </row>
    <row r="412" spans="1:21">
      <c r="A412" s="43"/>
      <c r="C412" s="43"/>
      <c r="D412" s="43"/>
      <c r="E412" s="43"/>
      <c r="F412" s="43"/>
      <c r="G412" s="43"/>
      <c r="H412" s="43"/>
      <c r="I412" s="43"/>
      <c r="J412" s="43"/>
      <c r="K412" s="43"/>
      <c r="L412" s="43"/>
      <c r="M412" s="43"/>
      <c r="N412" s="43"/>
      <c r="O412" s="43"/>
      <c r="Q412" s="43"/>
      <c r="U412" s="606"/>
    </row>
    <row r="413" spans="1:21">
      <c r="A413" s="43"/>
      <c r="C413" s="43"/>
      <c r="D413" s="43"/>
      <c r="E413" s="43"/>
      <c r="F413" s="43"/>
      <c r="G413" s="43"/>
      <c r="H413" s="43"/>
      <c r="I413" s="43"/>
      <c r="J413" s="43"/>
      <c r="K413" s="43"/>
      <c r="L413" s="43"/>
      <c r="M413" s="43"/>
      <c r="N413" s="43"/>
      <c r="O413" s="43"/>
      <c r="Q413" s="43"/>
      <c r="U413" s="606"/>
    </row>
    <row r="414" spans="1:21">
      <c r="A414" s="43"/>
      <c r="C414" s="43"/>
      <c r="D414" s="43"/>
      <c r="E414" s="43"/>
      <c r="F414" s="43"/>
      <c r="G414" s="43"/>
      <c r="H414" s="43"/>
      <c r="I414" s="43"/>
      <c r="J414" s="43"/>
      <c r="K414" s="43"/>
      <c r="L414" s="43"/>
      <c r="M414" s="43"/>
      <c r="N414" s="43"/>
      <c r="O414" s="43"/>
      <c r="Q414" s="43"/>
      <c r="U414" s="606"/>
    </row>
    <row r="415" spans="1:21">
      <c r="A415" s="43"/>
      <c r="C415" s="43"/>
      <c r="D415" s="43"/>
      <c r="E415" s="43"/>
      <c r="F415" s="43"/>
      <c r="G415" s="43"/>
      <c r="H415" s="43"/>
      <c r="I415" s="43"/>
      <c r="J415" s="43"/>
      <c r="K415" s="43"/>
      <c r="L415" s="43"/>
      <c r="M415" s="43"/>
      <c r="N415" s="43"/>
      <c r="O415" s="43"/>
      <c r="Q415" s="43"/>
      <c r="U415" s="606"/>
    </row>
    <row r="416" spans="1:21">
      <c r="A416" s="43"/>
      <c r="C416" s="43"/>
      <c r="D416" s="43"/>
      <c r="E416" s="43"/>
      <c r="F416" s="43"/>
      <c r="G416" s="43"/>
      <c r="H416" s="43"/>
      <c r="I416" s="43"/>
      <c r="J416" s="43"/>
      <c r="K416" s="43"/>
      <c r="L416" s="43"/>
      <c r="M416" s="43"/>
      <c r="N416" s="43"/>
      <c r="O416" s="43"/>
      <c r="Q416" s="43"/>
      <c r="U416" s="606"/>
    </row>
    <row r="417" spans="1:21">
      <c r="A417" s="43"/>
      <c r="C417" s="43"/>
      <c r="D417" s="43"/>
      <c r="E417" s="43"/>
      <c r="F417" s="43"/>
      <c r="G417" s="43"/>
      <c r="H417" s="43"/>
      <c r="I417" s="43"/>
      <c r="J417" s="43"/>
      <c r="K417" s="43"/>
      <c r="L417" s="43"/>
      <c r="M417" s="43"/>
      <c r="N417" s="43"/>
      <c r="O417" s="43"/>
      <c r="Q417" s="43"/>
      <c r="U417" s="606"/>
    </row>
    <row r="418" spans="1:21">
      <c r="A418" s="43"/>
      <c r="C418" s="43"/>
      <c r="D418" s="43"/>
      <c r="E418" s="43"/>
      <c r="F418" s="43"/>
      <c r="G418" s="43"/>
      <c r="H418" s="43"/>
      <c r="I418" s="43"/>
      <c r="J418" s="43"/>
      <c r="K418" s="43"/>
      <c r="L418" s="43"/>
      <c r="M418" s="43"/>
      <c r="N418" s="43"/>
      <c r="O418" s="43"/>
      <c r="Q418" s="43"/>
      <c r="U418" s="606"/>
    </row>
    <row r="419" spans="1:21">
      <c r="A419" s="43"/>
      <c r="C419" s="43"/>
      <c r="D419" s="43"/>
      <c r="E419" s="43"/>
      <c r="F419" s="43"/>
      <c r="G419" s="43"/>
      <c r="H419" s="43"/>
      <c r="I419" s="43"/>
      <c r="J419" s="43"/>
      <c r="K419" s="43"/>
      <c r="L419" s="43"/>
      <c r="M419" s="43"/>
      <c r="N419" s="43"/>
      <c r="O419" s="43"/>
      <c r="Q419" s="43"/>
      <c r="U419" s="606"/>
    </row>
    <row r="420" spans="1:21">
      <c r="A420" s="43"/>
      <c r="C420" s="43"/>
      <c r="D420" s="43"/>
      <c r="E420" s="43"/>
      <c r="F420" s="43"/>
      <c r="G420" s="43"/>
      <c r="H420" s="43"/>
      <c r="I420" s="43"/>
      <c r="J420" s="43"/>
      <c r="K420" s="43"/>
      <c r="L420" s="43"/>
      <c r="M420" s="43"/>
      <c r="N420" s="43"/>
      <c r="O420" s="43"/>
      <c r="Q420" s="43"/>
      <c r="U420" s="606"/>
    </row>
    <row r="421" spans="1:21">
      <c r="A421" s="43"/>
      <c r="C421" s="43"/>
      <c r="D421" s="43"/>
      <c r="E421" s="43"/>
      <c r="F421" s="43"/>
      <c r="G421" s="43"/>
      <c r="H421" s="43"/>
      <c r="I421" s="43"/>
      <c r="J421" s="43"/>
      <c r="K421" s="43"/>
      <c r="L421" s="43"/>
      <c r="M421" s="43"/>
      <c r="N421" s="43"/>
      <c r="O421" s="43"/>
      <c r="Q421" s="43"/>
      <c r="U421" s="606"/>
    </row>
    <row r="422" spans="1:21">
      <c r="A422" s="43"/>
      <c r="C422" s="43"/>
      <c r="D422" s="43"/>
      <c r="E422" s="43"/>
      <c r="F422" s="43"/>
      <c r="G422" s="43"/>
      <c r="H422" s="43"/>
      <c r="I422" s="43"/>
      <c r="J422" s="43"/>
      <c r="K422" s="43"/>
      <c r="L422" s="43"/>
      <c r="M422" s="43"/>
      <c r="N422" s="43"/>
      <c r="O422" s="43"/>
      <c r="Q422" s="43"/>
      <c r="U422" s="606"/>
    </row>
    <row r="423" spans="1:21">
      <c r="A423" s="43"/>
      <c r="C423" s="43"/>
      <c r="D423" s="43"/>
      <c r="E423" s="43"/>
      <c r="F423" s="43"/>
      <c r="G423" s="43"/>
      <c r="H423" s="43"/>
      <c r="I423" s="43"/>
      <c r="J423" s="43"/>
      <c r="K423" s="43"/>
      <c r="L423" s="43"/>
      <c r="M423" s="43"/>
      <c r="N423" s="43"/>
      <c r="O423" s="43"/>
      <c r="Q423" s="43"/>
      <c r="U423" s="606"/>
    </row>
    <row r="424" spans="1:21">
      <c r="A424" s="43"/>
      <c r="C424" s="43"/>
      <c r="D424" s="43"/>
      <c r="E424" s="43"/>
      <c r="F424" s="43"/>
      <c r="G424" s="43"/>
      <c r="H424" s="43"/>
      <c r="I424" s="43"/>
      <c r="J424" s="43"/>
      <c r="K424" s="43"/>
      <c r="L424" s="43"/>
      <c r="M424" s="43"/>
      <c r="N424" s="43"/>
      <c r="O424" s="43"/>
      <c r="Q424" s="43"/>
      <c r="U424" s="606"/>
    </row>
    <row r="425" spans="1:21">
      <c r="A425" s="43"/>
      <c r="C425" s="43"/>
      <c r="D425" s="43"/>
      <c r="E425" s="43"/>
      <c r="F425" s="43"/>
      <c r="G425" s="43"/>
      <c r="H425" s="43"/>
      <c r="I425" s="43"/>
      <c r="J425" s="43"/>
      <c r="K425" s="43"/>
      <c r="L425" s="43"/>
      <c r="M425" s="43"/>
      <c r="N425" s="43"/>
      <c r="O425" s="43"/>
      <c r="Q425" s="43"/>
      <c r="U425" s="606"/>
    </row>
    <row r="426" spans="1:21">
      <c r="A426" s="43"/>
      <c r="C426" s="43"/>
      <c r="D426" s="43"/>
      <c r="E426" s="43"/>
      <c r="F426" s="43"/>
      <c r="G426" s="43"/>
      <c r="H426" s="43"/>
      <c r="I426" s="43"/>
      <c r="J426" s="43"/>
      <c r="K426" s="43"/>
      <c r="L426" s="43"/>
      <c r="M426" s="43"/>
      <c r="N426" s="43"/>
      <c r="O426" s="43"/>
      <c r="Q426" s="43"/>
      <c r="U426" s="606"/>
    </row>
    <row r="427" spans="1:21">
      <c r="A427" s="43"/>
      <c r="C427" s="43"/>
      <c r="D427" s="43"/>
      <c r="E427" s="43"/>
      <c r="F427" s="43"/>
      <c r="G427" s="43"/>
      <c r="H427" s="43"/>
      <c r="I427" s="43"/>
      <c r="J427" s="43"/>
      <c r="K427" s="43"/>
      <c r="L427" s="43"/>
      <c r="M427" s="43"/>
      <c r="N427" s="43"/>
      <c r="O427" s="43"/>
      <c r="Q427" s="43"/>
      <c r="U427" s="606"/>
    </row>
    <row r="428" spans="1:21">
      <c r="A428" s="43"/>
      <c r="C428" s="43"/>
      <c r="D428" s="43"/>
      <c r="E428" s="43"/>
      <c r="F428" s="43"/>
      <c r="G428" s="43"/>
      <c r="H428" s="43"/>
      <c r="I428" s="43"/>
      <c r="J428" s="43"/>
      <c r="K428" s="43"/>
      <c r="L428" s="43"/>
      <c r="M428" s="43"/>
      <c r="N428" s="43"/>
      <c r="O428" s="43"/>
      <c r="Q428" s="43"/>
      <c r="U428" s="606"/>
    </row>
    <row r="429" spans="1:21">
      <c r="A429" s="43"/>
      <c r="C429" s="43"/>
      <c r="D429" s="43"/>
      <c r="E429" s="43"/>
      <c r="F429" s="43"/>
      <c r="G429" s="43"/>
      <c r="H429" s="43"/>
      <c r="I429" s="43"/>
      <c r="J429" s="43"/>
      <c r="K429" s="43"/>
      <c r="L429" s="43"/>
      <c r="M429" s="43"/>
      <c r="N429" s="43"/>
      <c r="O429" s="43"/>
      <c r="Q429" s="43"/>
      <c r="U429" s="606"/>
    </row>
    <row r="430" spans="1:21">
      <c r="A430" s="43"/>
      <c r="C430" s="43"/>
      <c r="D430" s="43"/>
      <c r="E430" s="43"/>
      <c r="F430" s="43"/>
      <c r="G430" s="43"/>
      <c r="H430" s="43"/>
      <c r="I430" s="43"/>
      <c r="J430" s="43"/>
      <c r="K430" s="43"/>
      <c r="L430" s="43"/>
      <c r="M430" s="43"/>
      <c r="N430" s="43"/>
      <c r="O430" s="43"/>
      <c r="Q430" s="43"/>
      <c r="U430" s="606"/>
    </row>
    <row r="431" spans="1:21">
      <c r="A431" s="43"/>
      <c r="C431" s="43"/>
      <c r="D431" s="43"/>
      <c r="E431" s="43"/>
      <c r="F431" s="43"/>
      <c r="G431" s="43"/>
      <c r="H431" s="43"/>
      <c r="I431" s="43"/>
      <c r="J431" s="43"/>
      <c r="K431" s="43"/>
      <c r="L431" s="43"/>
      <c r="M431" s="43"/>
      <c r="N431" s="43"/>
      <c r="O431" s="43"/>
      <c r="Q431" s="43"/>
      <c r="U431" s="606"/>
    </row>
    <row r="432" spans="1:21">
      <c r="A432" s="43"/>
      <c r="C432" s="43"/>
      <c r="D432" s="43"/>
      <c r="E432" s="43"/>
      <c r="F432" s="43"/>
      <c r="G432" s="43"/>
      <c r="H432" s="43"/>
      <c r="I432" s="43"/>
      <c r="J432" s="43"/>
      <c r="K432" s="43"/>
      <c r="L432" s="43"/>
      <c r="M432" s="43"/>
      <c r="N432" s="43"/>
      <c r="O432" s="43"/>
      <c r="Q432" s="43"/>
      <c r="U432" s="606"/>
    </row>
    <row r="433" spans="1:21">
      <c r="A433" s="43"/>
      <c r="C433" s="43"/>
      <c r="D433" s="43"/>
      <c r="E433" s="43"/>
      <c r="F433" s="43"/>
      <c r="G433" s="43"/>
      <c r="H433" s="43"/>
      <c r="I433" s="43"/>
      <c r="J433" s="43"/>
      <c r="K433" s="43"/>
      <c r="L433" s="43"/>
      <c r="M433" s="43"/>
      <c r="N433" s="43"/>
      <c r="O433" s="43"/>
      <c r="Q433" s="43"/>
      <c r="U433" s="606"/>
    </row>
    <row r="434" spans="1:21">
      <c r="A434" s="43"/>
      <c r="C434" s="43"/>
      <c r="D434" s="43"/>
      <c r="E434" s="43"/>
      <c r="F434" s="43"/>
      <c r="G434" s="43"/>
      <c r="H434" s="43"/>
      <c r="I434" s="43"/>
      <c r="J434" s="43"/>
      <c r="K434" s="43"/>
      <c r="L434" s="43"/>
      <c r="M434" s="43"/>
      <c r="N434" s="43"/>
      <c r="O434" s="43"/>
      <c r="Q434" s="43"/>
      <c r="U434" s="606"/>
    </row>
    <row r="435" spans="1:21">
      <c r="A435" s="43"/>
      <c r="C435" s="43"/>
      <c r="D435" s="43"/>
      <c r="E435" s="43"/>
      <c r="F435" s="43"/>
      <c r="G435" s="43"/>
      <c r="H435" s="43"/>
      <c r="I435" s="43"/>
      <c r="J435" s="43"/>
      <c r="K435" s="43"/>
      <c r="L435" s="43"/>
      <c r="M435" s="43"/>
      <c r="N435" s="43"/>
      <c r="O435" s="43"/>
      <c r="Q435" s="43"/>
      <c r="U435" s="606"/>
    </row>
    <row r="436" spans="1:21">
      <c r="A436" s="43"/>
      <c r="C436" s="43"/>
      <c r="D436" s="43"/>
      <c r="E436" s="43"/>
      <c r="F436" s="43"/>
      <c r="G436" s="43"/>
      <c r="H436" s="43"/>
      <c r="I436" s="43"/>
      <c r="J436" s="43"/>
      <c r="K436" s="43"/>
      <c r="L436" s="43"/>
      <c r="M436" s="43"/>
      <c r="N436" s="43"/>
      <c r="O436" s="43"/>
      <c r="Q436" s="43"/>
      <c r="U436" s="606"/>
    </row>
    <row r="437" spans="1:21">
      <c r="A437" s="43"/>
      <c r="C437" s="43"/>
      <c r="D437" s="43"/>
      <c r="E437" s="43"/>
      <c r="F437" s="43"/>
      <c r="G437" s="43"/>
      <c r="H437" s="43"/>
      <c r="I437" s="43"/>
      <c r="J437" s="43"/>
      <c r="K437" s="43"/>
      <c r="L437" s="43"/>
      <c r="M437" s="43"/>
      <c r="N437" s="43"/>
      <c r="O437" s="43"/>
      <c r="Q437" s="43"/>
      <c r="U437" s="606"/>
    </row>
    <row r="438" spans="1:21">
      <c r="A438" s="43"/>
      <c r="C438" s="43"/>
      <c r="D438" s="43"/>
      <c r="E438" s="43"/>
      <c r="F438" s="43"/>
      <c r="G438" s="43"/>
      <c r="H438" s="43"/>
      <c r="I438" s="43"/>
      <c r="J438" s="43"/>
      <c r="K438" s="43"/>
      <c r="L438" s="43"/>
      <c r="M438" s="43"/>
      <c r="N438" s="43"/>
      <c r="O438" s="43"/>
      <c r="Q438" s="43"/>
      <c r="U438" s="606"/>
    </row>
    <row r="439" spans="1:21">
      <c r="A439" s="43"/>
      <c r="C439" s="43"/>
      <c r="D439" s="43"/>
      <c r="E439" s="43"/>
      <c r="F439" s="43"/>
      <c r="G439" s="43"/>
      <c r="H439" s="43"/>
      <c r="I439" s="43"/>
      <c r="J439" s="43"/>
      <c r="K439" s="43"/>
      <c r="L439" s="43"/>
      <c r="M439" s="43"/>
      <c r="N439" s="43"/>
      <c r="O439" s="43"/>
      <c r="Q439" s="43"/>
      <c r="U439" s="606"/>
    </row>
    <row r="440" spans="1:21">
      <c r="A440" s="43"/>
      <c r="C440" s="43"/>
      <c r="D440" s="43"/>
      <c r="E440" s="43"/>
      <c r="F440" s="43"/>
      <c r="G440" s="43"/>
      <c r="H440" s="43"/>
      <c r="I440" s="43"/>
      <c r="J440" s="43"/>
      <c r="K440" s="43"/>
      <c r="L440" s="43"/>
      <c r="M440" s="43"/>
      <c r="N440" s="43"/>
      <c r="O440" s="43"/>
      <c r="Q440" s="43"/>
      <c r="U440" s="606"/>
    </row>
    <row r="441" spans="1:21">
      <c r="A441" s="43"/>
      <c r="C441" s="43"/>
      <c r="D441" s="43"/>
      <c r="E441" s="43"/>
      <c r="F441" s="43"/>
      <c r="G441" s="43"/>
      <c r="H441" s="43"/>
      <c r="I441" s="43"/>
      <c r="J441" s="43"/>
      <c r="K441" s="43"/>
      <c r="L441" s="43"/>
      <c r="M441" s="43"/>
      <c r="N441" s="43"/>
      <c r="O441" s="43"/>
      <c r="Q441" s="43"/>
      <c r="U441" s="606"/>
    </row>
    <row r="442" spans="1:21">
      <c r="A442" s="43"/>
      <c r="C442" s="43"/>
      <c r="D442" s="43"/>
      <c r="E442" s="43"/>
      <c r="F442" s="43"/>
      <c r="G442" s="43"/>
      <c r="H442" s="43"/>
      <c r="I442" s="43"/>
      <c r="J442" s="43"/>
      <c r="K442" s="43"/>
      <c r="L442" s="43"/>
      <c r="M442" s="43"/>
      <c r="N442" s="43"/>
      <c r="O442" s="43"/>
      <c r="Q442" s="43"/>
      <c r="U442" s="606"/>
    </row>
    <row r="443" spans="1:21">
      <c r="A443" s="43"/>
      <c r="C443" s="43"/>
      <c r="D443" s="43"/>
      <c r="E443" s="43"/>
      <c r="F443" s="43"/>
      <c r="G443" s="43"/>
      <c r="H443" s="43"/>
      <c r="I443" s="43"/>
      <c r="J443" s="43"/>
      <c r="K443" s="43"/>
      <c r="L443" s="43"/>
      <c r="M443" s="43"/>
      <c r="N443" s="43"/>
      <c r="O443" s="43"/>
      <c r="Q443" s="43"/>
      <c r="U443" s="606"/>
    </row>
    <row r="444" spans="1:21">
      <c r="A444" s="43"/>
      <c r="C444" s="43"/>
      <c r="D444" s="43"/>
      <c r="E444" s="43"/>
      <c r="F444" s="43"/>
      <c r="G444" s="43"/>
      <c r="H444" s="43"/>
      <c r="I444" s="43"/>
      <c r="J444" s="43"/>
      <c r="K444" s="43"/>
      <c r="L444" s="43"/>
      <c r="M444" s="43"/>
      <c r="N444" s="43"/>
      <c r="O444" s="43"/>
      <c r="Q444" s="43"/>
      <c r="U444" s="606"/>
    </row>
    <row r="445" spans="1:21">
      <c r="A445" s="43"/>
      <c r="C445" s="43"/>
      <c r="D445" s="43"/>
      <c r="E445" s="43"/>
      <c r="F445" s="43"/>
      <c r="G445" s="43"/>
      <c r="H445" s="43"/>
      <c r="I445" s="43"/>
      <c r="J445" s="43"/>
      <c r="K445" s="43"/>
      <c r="L445" s="43"/>
      <c r="M445" s="43"/>
      <c r="N445" s="43"/>
      <c r="O445" s="43"/>
      <c r="Q445" s="43"/>
      <c r="U445" s="606"/>
    </row>
    <row r="446" spans="1:21">
      <c r="A446" s="43"/>
      <c r="C446" s="43"/>
      <c r="D446" s="43"/>
      <c r="E446" s="43"/>
      <c r="F446" s="43"/>
      <c r="G446" s="43"/>
      <c r="H446" s="43"/>
      <c r="I446" s="43"/>
      <c r="J446" s="43"/>
      <c r="K446" s="43"/>
      <c r="L446" s="43"/>
      <c r="M446" s="43"/>
      <c r="N446" s="43"/>
      <c r="O446" s="43"/>
      <c r="Q446" s="43"/>
      <c r="U446" s="606"/>
    </row>
    <row r="447" spans="1:21">
      <c r="A447" s="43"/>
      <c r="C447" s="43"/>
      <c r="D447" s="43"/>
      <c r="E447" s="43"/>
      <c r="F447" s="43"/>
      <c r="G447" s="43"/>
      <c r="H447" s="43"/>
      <c r="I447" s="43"/>
      <c r="J447" s="43"/>
      <c r="K447" s="43"/>
      <c r="L447" s="43"/>
      <c r="M447" s="43"/>
      <c r="N447" s="43"/>
      <c r="O447" s="43"/>
      <c r="Q447" s="43"/>
      <c r="U447" s="606"/>
    </row>
    <row r="448" spans="1:21">
      <c r="A448" s="43"/>
      <c r="C448" s="43"/>
      <c r="D448" s="43"/>
      <c r="E448" s="43"/>
      <c r="F448" s="43"/>
      <c r="G448" s="43"/>
      <c r="H448" s="43"/>
      <c r="I448" s="43"/>
      <c r="J448" s="43"/>
      <c r="K448" s="43"/>
      <c r="L448" s="43"/>
      <c r="M448" s="43"/>
      <c r="N448" s="43"/>
      <c r="O448" s="43"/>
      <c r="Q448" s="43"/>
      <c r="U448" s="606"/>
    </row>
    <row r="449" spans="1:21">
      <c r="A449" s="43"/>
      <c r="C449" s="43"/>
      <c r="D449" s="43"/>
      <c r="E449" s="43"/>
      <c r="F449" s="43"/>
      <c r="G449" s="43"/>
      <c r="H449" s="43"/>
      <c r="I449" s="43"/>
      <c r="J449" s="43"/>
      <c r="K449" s="43"/>
      <c r="L449" s="43"/>
      <c r="M449" s="43"/>
      <c r="N449" s="43"/>
      <c r="O449" s="43"/>
      <c r="Q449" s="43"/>
      <c r="U449" s="606"/>
    </row>
    <row r="450" spans="1:21">
      <c r="A450" s="43"/>
      <c r="C450" s="43"/>
      <c r="D450" s="43"/>
      <c r="E450" s="43"/>
      <c r="F450" s="43"/>
      <c r="G450" s="43"/>
      <c r="H450" s="43"/>
      <c r="I450" s="43"/>
      <c r="J450" s="43"/>
      <c r="K450" s="43"/>
      <c r="L450" s="43"/>
      <c r="M450" s="43"/>
      <c r="N450" s="43"/>
      <c r="O450" s="43"/>
      <c r="Q450" s="43"/>
      <c r="U450" s="606"/>
    </row>
    <row r="451" spans="1:21">
      <c r="A451" s="43"/>
      <c r="C451" s="43"/>
      <c r="D451" s="43"/>
      <c r="E451" s="43"/>
      <c r="F451" s="43"/>
      <c r="G451" s="43"/>
      <c r="H451" s="43"/>
      <c r="I451" s="43"/>
      <c r="J451" s="43"/>
      <c r="K451" s="43"/>
      <c r="L451" s="43"/>
      <c r="M451" s="43"/>
      <c r="N451" s="43"/>
      <c r="O451" s="43"/>
      <c r="Q451" s="43"/>
      <c r="U451" s="606"/>
    </row>
    <row r="452" spans="1:21">
      <c r="A452" s="43"/>
      <c r="C452" s="43"/>
      <c r="D452" s="43"/>
      <c r="E452" s="43"/>
      <c r="F452" s="43"/>
      <c r="G452" s="43"/>
      <c r="H452" s="43"/>
      <c r="I452" s="43"/>
      <c r="J452" s="43"/>
      <c r="K452" s="43"/>
      <c r="L452" s="43"/>
      <c r="M452" s="43"/>
      <c r="N452" s="43"/>
      <c r="O452" s="43"/>
      <c r="Q452" s="43"/>
      <c r="U452" s="606"/>
    </row>
    <row r="453" spans="1:21">
      <c r="A453" s="43"/>
      <c r="C453" s="43"/>
      <c r="D453" s="43"/>
      <c r="E453" s="43"/>
      <c r="F453" s="43"/>
      <c r="G453" s="43"/>
      <c r="H453" s="43"/>
      <c r="I453" s="43"/>
      <c r="J453" s="43"/>
      <c r="K453" s="43"/>
      <c r="L453" s="43"/>
      <c r="M453" s="43"/>
      <c r="N453" s="43"/>
      <c r="O453" s="43"/>
      <c r="Q453" s="43"/>
      <c r="U453" s="606"/>
    </row>
    <row r="454" spans="1:21">
      <c r="A454" s="43"/>
      <c r="C454" s="43"/>
      <c r="D454" s="43"/>
      <c r="E454" s="43"/>
      <c r="F454" s="43"/>
      <c r="G454" s="43"/>
      <c r="H454" s="43"/>
      <c r="I454" s="43"/>
      <c r="J454" s="43"/>
      <c r="K454" s="43"/>
      <c r="L454" s="43"/>
      <c r="M454" s="43"/>
      <c r="N454" s="43"/>
      <c r="O454" s="43"/>
      <c r="Q454" s="43"/>
      <c r="U454" s="606"/>
    </row>
    <row r="455" spans="1:21">
      <c r="A455" s="43"/>
      <c r="C455" s="43"/>
      <c r="D455" s="43"/>
      <c r="E455" s="43"/>
      <c r="F455" s="43"/>
      <c r="G455" s="43"/>
      <c r="H455" s="43"/>
      <c r="I455" s="43"/>
      <c r="J455" s="43"/>
      <c r="K455" s="43"/>
      <c r="L455" s="43"/>
      <c r="M455" s="43"/>
      <c r="N455" s="43"/>
      <c r="O455" s="43"/>
      <c r="Q455" s="43"/>
      <c r="U455" s="606"/>
    </row>
    <row r="456" spans="1:21">
      <c r="A456" s="43"/>
      <c r="C456" s="43"/>
      <c r="D456" s="43"/>
      <c r="E456" s="43"/>
      <c r="F456" s="43"/>
      <c r="G456" s="43"/>
      <c r="H456" s="43"/>
      <c r="I456" s="43"/>
      <c r="J456" s="43"/>
      <c r="K456" s="43"/>
      <c r="L456" s="43"/>
      <c r="M456" s="43"/>
      <c r="N456" s="43"/>
      <c r="O456" s="43"/>
      <c r="Q456" s="43"/>
      <c r="U456" s="606"/>
    </row>
    <row r="457" spans="1:21">
      <c r="A457" s="43"/>
      <c r="C457" s="43"/>
      <c r="D457" s="43"/>
      <c r="E457" s="43"/>
      <c r="F457" s="43"/>
      <c r="G457" s="43"/>
      <c r="H457" s="43"/>
      <c r="I457" s="43"/>
      <c r="J457" s="43"/>
      <c r="K457" s="43"/>
      <c r="L457" s="43"/>
      <c r="M457" s="43"/>
      <c r="N457" s="43"/>
      <c r="O457" s="43"/>
      <c r="Q457" s="43"/>
      <c r="U457" s="606"/>
    </row>
    <row r="458" spans="1:21">
      <c r="A458" s="43"/>
      <c r="C458" s="43"/>
      <c r="D458" s="43"/>
      <c r="E458" s="43"/>
      <c r="F458" s="43"/>
      <c r="G458" s="43"/>
      <c r="H458" s="43"/>
      <c r="I458" s="43"/>
      <c r="J458" s="43"/>
      <c r="K458" s="43"/>
      <c r="L458" s="43"/>
      <c r="M458" s="43"/>
      <c r="N458" s="43"/>
      <c r="O458" s="43"/>
      <c r="Q458" s="43"/>
      <c r="U458" s="606"/>
    </row>
    <row r="459" spans="1:21">
      <c r="A459" s="43"/>
      <c r="C459" s="43"/>
      <c r="D459" s="43"/>
      <c r="E459" s="43"/>
      <c r="F459" s="43"/>
      <c r="G459" s="43"/>
      <c r="H459" s="43"/>
      <c r="I459" s="43"/>
      <c r="J459" s="43"/>
      <c r="K459" s="43"/>
      <c r="L459" s="43"/>
      <c r="M459" s="43"/>
      <c r="N459" s="43"/>
      <c r="O459" s="43"/>
      <c r="Q459" s="43"/>
      <c r="U459" s="606"/>
    </row>
    <row r="460" spans="1:21">
      <c r="A460" s="43"/>
      <c r="C460" s="43"/>
      <c r="D460" s="43"/>
      <c r="E460" s="43"/>
      <c r="F460" s="43"/>
      <c r="G460" s="43"/>
      <c r="H460" s="43"/>
      <c r="I460" s="43"/>
      <c r="J460" s="43"/>
      <c r="K460" s="43"/>
      <c r="L460" s="43"/>
      <c r="M460" s="43"/>
      <c r="N460" s="43"/>
      <c r="O460" s="43"/>
      <c r="Q460" s="43"/>
      <c r="U460" s="606"/>
    </row>
    <row r="461" spans="1:21">
      <c r="A461" s="43"/>
      <c r="C461" s="43"/>
      <c r="D461" s="43"/>
      <c r="E461" s="43"/>
      <c r="F461" s="43"/>
      <c r="G461" s="43"/>
      <c r="H461" s="43"/>
      <c r="I461" s="43"/>
      <c r="J461" s="43"/>
      <c r="K461" s="43"/>
      <c r="L461" s="43"/>
      <c r="M461" s="43"/>
      <c r="N461" s="43"/>
      <c r="O461" s="43"/>
      <c r="Q461" s="43"/>
      <c r="U461" s="606"/>
    </row>
    <row r="462" spans="1:21">
      <c r="A462" s="43"/>
      <c r="C462" s="43"/>
      <c r="D462" s="43"/>
      <c r="E462" s="43"/>
      <c r="F462" s="43"/>
      <c r="G462" s="43"/>
      <c r="H462" s="43"/>
      <c r="I462" s="43"/>
      <c r="J462" s="43"/>
      <c r="K462" s="43"/>
      <c r="L462" s="43"/>
      <c r="M462" s="43"/>
      <c r="N462" s="43"/>
      <c r="O462" s="43"/>
      <c r="Q462" s="43"/>
      <c r="U462" s="606"/>
    </row>
    <row r="463" spans="1:21">
      <c r="A463" s="43"/>
      <c r="C463" s="43"/>
      <c r="D463" s="43"/>
      <c r="E463" s="43"/>
      <c r="F463" s="43"/>
      <c r="G463" s="43"/>
      <c r="H463" s="43"/>
      <c r="I463" s="43"/>
      <c r="J463" s="43"/>
      <c r="K463" s="43"/>
      <c r="L463" s="43"/>
      <c r="M463" s="43"/>
      <c r="N463" s="43"/>
      <c r="O463" s="43"/>
      <c r="Q463" s="43"/>
      <c r="U463" s="606"/>
    </row>
    <row r="464" spans="1:21">
      <c r="A464" s="43"/>
      <c r="C464" s="43"/>
      <c r="D464" s="43"/>
      <c r="E464" s="43"/>
      <c r="F464" s="43"/>
      <c r="G464" s="43"/>
      <c r="H464" s="43"/>
      <c r="I464" s="43"/>
      <c r="J464" s="43"/>
      <c r="K464" s="43"/>
      <c r="L464" s="43"/>
      <c r="M464" s="43"/>
      <c r="N464" s="43"/>
      <c r="O464" s="43"/>
      <c r="Q464" s="43"/>
      <c r="U464" s="606"/>
    </row>
    <row r="465" spans="1:21">
      <c r="A465" s="43"/>
      <c r="C465" s="43"/>
      <c r="D465" s="43"/>
      <c r="E465" s="43"/>
      <c r="F465" s="43"/>
      <c r="G465" s="43"/>
      <c r="H465" s="43"/>
      <c r="I465" s="43"/>
      <c r="J465" s="43"/>
      <c r="K465" s="43"/>
      <c r="L465" s="43"/>
      <c r="M465" s="43"/>
      <c r="N465" s="43"/>
      <c r="O465" s="43"/>
      <c r="Q465" s="43"/>
      <c r="U465" s="606"/>
    </row>
    <row r="466" spans="1:21">
      <c r="A466" s="43"/>
      <c r="C466" s="43"/>
      <c r="D466" s="43"/>
      <c r="E466" s="43"/>
      <c r="F466" s="43"/>
      <c r="G466" s="43"/>
      <c r="H466" s="43"/>
      <c r="I466" s="43"/>
      <c r="J466" s="43"/>
      <c r="K466" s="43"/>
      <c r="L466" s="43"/>
      <c r="M466" s="43"/>
      <c r="N466" s="43"/>
      <c r="O466" s="43"/>
      <c r="Q466" s="43"/>
      <c r="U466" s="606"/>
    </row>
    <row r="467" spans="1:21">
      <c r="A467" s="43"/>
      <c r="C467" s="43"/>
      <c r="D467" s="43"/>
      <c r="E467" s="43"/>
      <c r="F467" s="43"/>
      <c r="G467" s="43"/>
      <c r="H467" s="43"/>
      <c r="I467" s="43"/>
      <c r="J467" s="43"/>
      <c r="K467" s="43"/>
      <c r="L467" s="43"/>
      <c r="M467" s="43"/>
      <c r="N467" s="43"/>
      <c r="O467" s="43"/>
      <c r="Q467" s="43"/>
      <c r="U467" s="606"/>
    </row>
    <row r="468" spans="1:21">
      <c r="A468" s="43"/>
      <c r="C468" s="43"/>
      <c r="D468" s="43"/>
      <c r="E468" s="43"/>
      <c r="F468" s="43"/>
      <c r="G468" s="43"/>
      <c r="H468" s="43"/>
      <c r="I468" s="43"/>
      <c r="J468" s="43"/>
      <c r="K468" s="43"/>
      <c r="L468" s="43"/>
      <c r="M468" s="43"/>
      <c r="N468" s="43"/>
      <c r="O468" s="43"/>
      <c r="Q468" s="43"/>
      <c r="U468" s="606"/>
    </row>
    <row r="469" spans="1:21">
      <c r="A469" s="43"/>
      <c r="C469" s="43"/>
      <c r="D469" s="43"/>
      <c r="E469" s="43"/>
      <c r="F469" s="43"/>
      <c r="G469" s="43"/>
      <c r="H469" s="43"/>
      <c r="I469" s="43"/>
      <c r="J469" s="43"/>
      <c r="K469" s="43"/>
      <c r="L469" s="43"/>
      <c r="M469" s="43"/>
      <c r="N469" s="43"/>
      <c r="O469" s="43"/>
      <c r="Q469" s="43"/>
      <c r="U469" s="606"/>
    </row>
    <row r="470" spans="1:21">
      <c r="A470" s="43"/>
      <c r="C470" s="43"/>
      <c r="D470" s="43"/>
      <c r="E470" s="43"/>
      <c r="F470" s="43"/>
      <c r="G470" s="43"/>
      <c r="H470" s="43"/>
      <c r="I470" s="43"/>
      <c r="J470" s="43"/>
      <c r="K470" s="43"/>
      <c r="L470" s="43"/>
      <c r="M470" s="43"/>
      <c r="N470" s="43"/>
      <c r="O470" s="43"/>
      <c r="Q470" s="43"/>
      <c r="U470" s="606"/>
    </row>
    <row r="471" spans="1:21">
      <c r="A471" s="43"/>
      <c r="C471" s="43"/>
      <c r="D471" s="43"/>
      <c r="E471" s="43"/>
      <c r="F471" s="43"/>
      <c r="G471" s="43"/>
      <c r="H471" s="43"/>
      <c r="I471" s="43"/>
      <c r="J471" s="43"/>
      <c r="K471" s="43"/>
      <c r="L471" s="43"/>
      <c r="M471" s="43"/>
      <c r="N471" s="43"/>
      <c r="O471" s="43"/>
      <c r="Q471" s="43"/>
      <c r="U471" s="606"/>
    </row>
    <row r="472" spans="1:21">
      <c r="A472" s="43"/>
      <c r="C472" s="43"/>
      <c r="D472" s="43"/>
      <c r="E472" s="43"/>
      <c r="F472" s="43"/>
      <c r="G472" s="43"/>
      <c r="H472" s="43"/>
      <c r="I472" s="43"/>
      <c r="J472" s="43"/>
      <c r="K472" s="43"/>
      <c r="L472" s="43"/>
      <c r="M472" s="43"/>
      <c r="N472" s="43"/>
      <c r="O472" s="43"/>
      <c r="Q472" s="43"/>
      <c r="U472" s="606"/>
    </row>
    <row r="473" spans="1:21">
      <c r="A473" s="43"/>
      <c r="C473" s="43"/>
      <c r="D473" s="43"/>
      <c r="E473" s="43"/>
      <c r="F473" s="43"/>
      <c r="G473" s="43"/>
      <c r="H473" s="43"/>
      <c r="I473" s="43"/>
      <c r="J473" s="43"/>
      <c r="K473" s="43"/>
      <c r="L473" s="43"/>
      <c r="M473" s="43"/>
      <c r="N473" s="43"/>
      <c r="O473" s="43"/>
      <c r="Q473" s="43"/>
      <c r="U473" s="606"/>
    </row>
    <row r="474" spans="1:21">
      <c r="A474" s="43"/>
      <c r="C474" s="43"/>
      <c r="D474" s="43"/>
      <c r="E474" s="43"/>
      <c r="F474" s="43"/>
      <c r="G474" s="43"/>
      <c r="H474" s="43"/>
      <c r="I474" s="43"/>
      <c r="J474" s="43"/>
      <c r="K474" s="43"/>
      <c r="L474" s="43"/>
      <c r="M474" s="43"/>
      <c r="N474" s="43"/>
      <c r="O474" s="43"/>
      <c r="Q474" s="43"/>
      <c r="U474" s="606"/>
    </row>
    <row r="475" spans="1:21">
      <c r="A475" s="43"/>
      <c r="C475" s="43"/>
      <c r="D475" s="43"/>
      <c r="E475" s="43"/>
      <c r="F475" s="43"/>
      <c r="G475" s="43"/>
      <c r="H475" s="43"/>
      <c r="I475" s="43"/>
      <c r="J475" s="43"/>
      <c r="K475" s="43"/>
      <c r="L475" s="43"/>
      <c r="M475" s="43"/>
      <c r="N475" s="43"/>
      <c r="O475" s="43"/>
      <c r="Q475" s="43"/>
      <c r="U475" s="606"/>
    </row>
    <row r="476" spans="1:21">
      <c r="A476" s="43"/>
      <c r="C476" s="43"/>
      <c r="D476" s="43"/>
      <c r="E476" s="43"/>
      <c r="F476" s="43"/>
      <c r="G476" s="43"/>
      <c r="H476" s="43"/>
      <c r="I476" s="43"/>
      <c r="J476" s="43"/>
      <c r="K476" s="43"/>
      <c r="L476" s="43"/>
      <c r="M476" s="43"/>
      <c r="N476" s="43"/>
      <c r="O476" s="43"/>
      <c r="Q476" s="43"/>
      <c r="U476" s="606"/>
    </row>
    <row r="477" spans="1:21">
      <c r="A477" s="43"/>
      <c r="C477" s="43"/>
      <c r="D477" s="43"/>
      <c r="E477" s="43"/>
      <c r="F477" s="43"/>
      <c r="G477" s="43"/>
      <c r="H477" s="43"/>
      <c r="I477" s="43"/>
      <c r="J477" s="43"/>
      <c r="K477" s="43"/>
      <c r="L477" s="43"/>
      <c r="M477" s="43"/>
      <c r="N477" s="43"/>
      <c r="O477" s="43"/>
      <c r="Q477" s="43"/>
      <c r="U477" s="606"/>
    </row>
    <row r="478" spans="1:21">
      <c r="A478" s="43"/>
      <c r="C478" s="43"/>
      <c r="D478" s="43"/>
      <c r="E478" s="43"/>
      <c r="F478" s="43"/>
      <c r="G478" s="43"/>
      <c r="H478" s="43"/>
      <c r="I478" s="43"/>
      <c r="J478" s="43"/>
      <c r="K478" s="43"/>
      <c r="L478" s="43"/>
      <c r="M478" s="43"/>
      <c r="N478" s="43"/>
      <c r="O478" s="43"/>
      <c r="Q478" s="43"/>
      <c r="U478" s="606"/>
    </row>
    <row r="479" spans="1:21">
      <c r="A479" s="43"/>
      <c r="C479" s="43"/>
      <c r="D479" s="43"/>
      <c r="E479" s="43"/>
      <c r="F479" s="43"/>
      <c r="G479" s="43"/>
      <c r="H479" s="43"/>
      <c r="I479" s="43"/>
      <c r="J479" s="43"/>
      <c r="K479" s="43"/>
      <c r="L479" s="43"/>
      <c r="M479" s="43"/>
      <c r="N479" s="43"/>
      <c r="O479" s="43"/>
      <c r="Q479" s="43"/>
      <c r="U479" s="606"/>
    </row>
    <row r="480" spans="1:21">
      <c r="A480" s="43"/>
      <c r="C480" s="43"/>
      <c r="D480" s="43"/>
      <c r="E480" s="43"/>
      <c r="F480" s="43"/>
      <c r="G480" s="43"/>
      <c r="H480" s="43"/>
      <c r="I480" s="43"/>
      <c r="J480" s="43"/>
      <c r="K480" s="43"/>
      <c r="L480" s="43"/>
      <c r="M480" s="43"/>
      <c r="N480" s="43"/>
      <c r="O480" s="43"/>
      <c r="Q480" s="43"/>
      <c r="U480" s="606"/>
    </row>
    <row r="481" spans="1:21">
      <c r="A481" s="43"/>
      <c r="C481" s="43"/>
      <c r="D481" s="43"/>
      <c r="E481" s="43"/>
      <c r="F481" s="43"/>
      <c r="G481" s="43"/>
      <c r="H481" s="43"/>
      <c r="I481" s="43"/>
      <c r="J481" s="43"/>
      <c r="K481" s="43"/>
      <c r="L481" s="43"/>
      <c r="M481" s="43"/>
      <c r="N481" s="43"/>
      <c r="O481" s="43"/>
      <c r="Q481" s="43"/>
      <c r="U481" s="606"/>
    </row>
    <row r="482" spans="1:21">
      <c r="A482" s="43"/>
      <c r="C482" s="43"/>
      <c r="D482" s="43"/>
      <c r="E482" s="43"/>
      <c r="F482" s="43"/>
      <c r="G482" s="43"/>
      <c r="H482" s="43"/>
      <c r="I482" s="43"/>
      <c r="J482" s="43"/>
      <c r="K482" s="43"/>
      <c r="L482" s="43"/>
      <c r="M482" s="43"/>
      <c r="N482" s="43"/>
      <c r="O482" s="43"/>
      <c r="Q482" s="43"/>
      <c r="U482" s="606"/>
    </row>
    <row r="483" spans="1:21">
      <c r="A483" s="43"/>
      <c r="C483" s="43"/>
      <c r="D483" s="43"/>
      <c r="E483" s="43"/>
      <c r="F483" s="43"/>
      <c r="G483" s="43"/>
      <c r="H483" s="43"/>
      <c r="I483" s="43"/>
      <c r="J483" s="43"/>
      <c r="K483" s="43"/>
      <c r="L483" s="43"/>
      <c r="M483" s="43"/>
      <c r="N483" s="43"/>
      <c r="O483" s="43"/>
      <c r="Q483" s="43"/>
      <c r="U483" s="606"/>
    </row>
    <row r="484" spans="1:21">
      <c r="A484" s="43"/>
      <c r="C484" s="43"/>
      <c r="D484" s="43"/>
      <c r="E484" s="43"/>
      <c r="F484" s="43"/>
      <c r="G484" s="43"/>
      <c r="H484" s="43"/>
      <c r="I484" s="43"/>
      <c r="J484" s="43"/>
      <c r="K484" s="43"/>
      <c r="L484" s="43"/>
      <c r="M484" s="43"/>
      <c r="N484" s="43"/>
      <c r="O484" s="43"/>
      <c r="Q484" s="43"/>
      <c r="U484" s="606"/>
    </row>
    <row r="485" spans="1:21">
      <c r="A485" s="43"/>
      <c r="C485" s="43"/>
      <c r="D485" s="43"/>
      <c r="E485" s="43"/>
      <c r="F485" s="43"/>
      <c r="G485" s="43"/>
      <c r="H485" s="43"/>
      <c r="I485" s="43"/>
      <c r="J485" s="43"/>
      <c r="K485" s="43"/>
      <c r="L485" s="43"/>
      <c r="M485" s="43"/>
      <c r="N485" s="43"/>
      <c r="O485" s="43"/>
      <c r="Q485" s="43"/>
      <c r="U485" s="606"/>
    </row>
    <row r="486" spans="1:21">
      <c r="A486" s="43"/>
      <c r="C486" s="43"/>
      <c r="D486" s="43"/>
      <c r="E486" s="43"/>
      <c r="F486" s="43"/>
      <c r="G486" s="43"/>
      <c r="H486" s="43"/>
      <c r="I486" s="43"/>
      <c r="J486" s="43"/>
      <c r="K486" s="43"/>
      <c r="L486" s="43"/>
      <c r="M486" s="43"/>
      <c r="N486" s="43"/>
      <c r="O486" s="43"/>
      <c r="Q486" s="43"/>
      <c r="U486" s="606"/>
    </row>
    <row r="487" spans="1:21">
      <c r="A487" s="43"/>
      <c r="C487" s="43"/>
      <c r="D487" s="43"/>
      <c r="E487" s="43"/>
      <c r="F487" s="43"/>
      <c r="G487" s="43"/>
      <c r="H487" s="43"/>
      <c r="I487" s="43"/>
      <c r="J487" s="43"/>
      <c r="K487" s="43"/>
      <c r="L487" s="43"/>
      <c r="M487" s="43"/>
      <c r="N487" s="43"/>
      <c r="O487" s="43"/>
      <c r="Q487" s="43"/>
      <c r="U487" s="606"/>
    </row>
    <row r="488" spans="1:21">
      <c r="A488" s="43"/>
      <c r="C488" s="43"/>
      <c r="D488" s="43"/>
      <c r="E488" s="43"/>
      <c r="F488" s="43"/>
      <c r="G488" s="43"/>
      <c r="H488" s="43"/>
      <c r="I488" s="43"/>
      <c r="J488" s="43"/>
      <c r="K488" s="43"/>
      <c r="L488" s="43"/>
      <c r="M488" s="43"/>
      <c r="N488" s="43"/>
      <c r="O488" s="43"/>
      <c r="Q488" s="43"/>
      <c r="U488" s="606"/>
    </row>
    <row r="489" spans="1:21">
      <c r="A489" s="43"/>
      <c r="C489" s="43"/>
      <c r="D489" s="43"/>
      <c r="E489" s="43"/>
      <c r="F489" s="43"/>
      <c r="G489" s="43"/>
      <c r="H489" s="43"/>
      <c r="I489" s="43"/>
      <c r="J489" s="43"/>
      <c r="K489" s="43"/>
      <c r="L489" s="43"/>
      <c r="M489" s="43"/>
      <c r="N489" s="43"/>
      <c r="O489" s="43"/>
      <c r="Q489" s="43"/>
      <c r="U489" s="606"/>
    </row>
    <row r="490" spans="1:21">
      <c r="A490" s="43"/>
      <c r="C490" s="43"/>
      <c r="D490" s="43"/>
      <c r="E490" s="43"/>
      <c r="F490" s="43"/>
      <c r="G490" s="43"/>
      <c r="H490" s="43"/>
      <c r="I490" s="43"/>
      <c r="J490" s="43"/>
      <c r="K490" s="43"/>
      <c r="L490" s="43"/>
      <c r="M490" s="43"/>
      <c r="N490" s="43"/>
      <c r="O490" s="43"/>
      <c r="Q490" s="43"/>
      <c r="U490" s="606"/>
    </row>
    <row r="491" spans="1:21">
      <c r="A491" s="43"/>
      <c r="C491" s="43"/>
      <c r="D491" s="43"/>
      <c r="E491" s="43"/>
      <c r="F491" s="43"/>
      <c r="G491" s="43"/>
      <c r="H491" s="43"/>
      <c r="I491" s="43"/>
      <c r="J491" s="43"/>
      <c r="K491" s="43"/>
      <c r="L491" s="43"/>
      <c r="M491" s="43"/>
      <c r="N491" s="43"/>
      <c r="O491" s="43"/>
      <c r="Q491" s="43"/>
      <c r="U491" s="606"/>
    </row>
    <row r="492" spans="1:21">
      <c r="A492" s="43"/>
      <c r="C492" s="43"/>
      <c r="D492" s="43"/>
      <c r="E492" s="43"/>
      <c r="F492" s="43"/>
      <c r="G492" s="43"/>
      <c r="H492" s="43"/>
      <c r="I492" s="43"/>
      <c r="J492" s="43"/>
      <c r="K492" s="43"/>
      <c r="L492" s="43"/>
      <c r="M492" s="43"/>
      <c r="N492" s="43"/>
      <c r="O492" s="43"/>
      <c r="Q492" s="43"/>
      <c r="U492" s="606"/>
    </row>
    <row r="493" spans="1:21">
      <c r="A493" s="43"/>
      <c r="C493" s="43"/>
      <c r="D493" s="43"/>
      <c r="E493" s="43"/>
      <c r="F493" s="43"/>
      <c r="G493" s="43"/>
      <c r="H493" s="43"/>
      <c r="I493" s="43"/>
      <c r="J493" s="43"/>
      <c r="K493" s="43"/>
      <c r="L493" s="43"/>
      <c r="M493" s="43"/>
      <c r="N493" s="43"/>
      <c r="O493" s="43"/>
      <c r="Q493" s="43"/>
      <c r="U493" s="606"/>
    </row>
    <row r="494" spans="1:21">
      <c r="A494" s="43"/>
      <c r="C494" s="43"/>
      <c r="D494" s="43"/>
      <c r="E494" s="43"/>
      <c r="F494" s="43"/>
      <c r="G494" s="43"/>
      <c r="H494" s="43"/>
      <c r="I494" s="43"/>
      <c r="J494" s="43"/>
      <c r="K494" s="43"/>
      <c r="L494" s="43"/>
      <c r="M494" s="43"/>
      <c r="N494" s="43"/>
      <c r="O494" s="43"/>
      <c r="Q494" s="43"/>
      <c r="U494" s="606"/>
    </row>
    <row r="495" spans="1:21">
      <c r="A495" s="43"/>
      <c r="C495" s="43"/>
      <c r="D495" s="43"/>
      <c r="E495" s="43"/>
      <c r="F495" s="43"/>
      <c r="G495" s="43"/>
      <c r="H495" s="43"/>
      <c r="I495" s="43"/>
      <c r="J495" s="43"/>
      <c r="K495" s="43"/>
      <c r="L495" s="43"/>
      <c r="M495" s="43"/>
      <c r="N495" s="43"/>
      <c r="O495" s="43"/>
      <c r="Q495" s="43"/>
      <c r="U495" s="606"/>
    </row>
    <row r="496" spans="1:21">
      <c r="A496" s="43"/>
      <c r="C496" s="43"/>
      <c r="D496" s="43"/>
      <c r="E496" s="43"/>
      <c r="F496" s="43"/>
      <c r="G496" s="43"/>
      <c r="H496" s="43"/>
      <c r="I496" s="43"/>
      <c r="J496" s="43"/>
      <c r="K496" s="43"/>
      <c r="L496" s="43"/>
      <c r="M496" s="43"/>
      <c r="N496" s="43"/>
      <c r="O496" s="43"/>
      <c r="Q496" s="43"/>
      <c r="U496" s="606"/>
    </row>
    <row r="497" spans="1:21">
      <c r="A497" s="43"/>
      <c r="C497" s="43"/>
      <c r="D497" s="43"/>
      <c r="E497" s="43"/>
      <c r="F497" s="43"/>
      <c r="G497" s="43"/>
      <c r="H497" s="43"/>
      <c r="I497" s="43"/>
      <c r="J497" s="43"/>
      <c r="K497" s="43"/>
      <c r="L497" s="43"/>
      <c r="M497" s="43"/>
      <c r="N497" s="43"/>
      <c r="O497" s="43"/>
      <c r="Q497" s="43"/>
      <c r="U497" s="606"/>
    </row>
    <row r="498" spans="1:21">
      <c r="A498" s="43"/>
      <c r="C498" s="43"/>
      <c r="D498" s="43"/>
      <c r="E498" s="43"/>
      <c r="F498" s="43"/>
      <c r="G498" s="43"/>
      <c r="H498" s="43"/>
      <c r="I498" s="43"/>
      <c r="J498" s="43"/>
      <c r="K498" s="43"/>
      <c r="L498" s="43"/>
      <c r="M498" s="43"/>
      <c r="N498" s="43"/>
      <c r="O498" s="43"/>
      <c r="Q498" s="43"/>
      <c r="U498" s="606"/>
    </row>
    <row r="499" spans="1:21">
      <c r="A499" s="43"/>
      <c r="C499" s="43"/>
      <c r="D499" s="43"/>
      <c r="E499" s="43"/>
      <c r="F499" s="43"/>
      <c r="G499" s="43"/>
      <c r="H499" s="43"/>
      <c r="I499" s="43"/>
      <c r="J499" s="43"/>
      <c r="K499" s="43"/>
      <c r="L499" s="43"/>
      <c r="M499" s="43"/>
      <c r="N499" s="43"/>
      <c r="O499" s="43"/>
      <c r="Q499" s="43"/>
      <c r="U499" s="606"/>
    </row>
    <row r="500" spans="1:21">
      <c r="A500" s="43"/>
      <c r="C500" s="43"/>
      <c r="D500" s="43"/>
      <c r="E500" s="43"/>
      <c r="F500" s="43"/>
      <c r="G500" s="43"/>
      <c r="H500" s="43"/>
      <c r="I500" s="43"/>
      <c r="J500" s="43"/>
      <c r="K500" s="43"/>
      <c r="L500" s="43"/>
      <c r="M500" s="43"/>
      <c r="N500" s="43"/>
      <c r="O500" s="43"/>
      <c r="Q500" s="43"/>
      <c r="U500" s="606"/>
    </row>
    <row r="501" spans="1:21">
      <c r="A501" s="43"/>
      <c r="C501" s="43"/>
      <c r="D501" s="43"/>
      <c r="E501" s="43"/>
      <c r="F501" s="43"/>
      <c r="G501" s="43"/>
      <c r="H501" s="43"/>
      <c r="I501" s="43"/>
      <c r="J501" s="43"/>
      <c r="K501" s="43"/>
      <c r="L501" s="43"/>
      <c r="M501" s="43"/>
      <c r="N501" s="43"/>
      <c r="O501" s="43"/>
      <c r="Q501" s="43"/>
      <c r="U501" s="606"/>
    </row>
    <row r="502" spans="1:21">
      <c r="A502" s="43"/>
      <c r="C502" s="43"/>
      <c r="D502" s="43"/>
      <c r="E502" s="43"/>
      <c r="F502" s="43"/>
      <c r="G502" s="43"/>
      <c r="H502" s="43"/>
      <c r="I502" s="43"/>
      <c r="J502" s="43"/>
      <c r="K502" s="43"/>
      <c r="L502" s="43"/>
      <c r="M502" s="43"/>
      <c r="N502" s="43"/>
      <c r="O502" s="43"/>
      <c r="Q502" s="43"/>
      <c r="U502" s="606"/>
    </row>
    <row r="503" spans="1:21">
      <c r="A503" s="43"/>
      <c r="C503" s="43"/>
      <c r="D503" s="43"/>
      <c r="E503" s="43"/>
      <c r="F503" s="43"/>
      <c r="G503" s="43"/>
      <c r="H503" s="43"/>
      <c r="I503" s="43"/>
      <c r="J503" s="43"/>
      <c r="K503" s="43"/>
      <c r="L503" s="43"/>
      <c r="M503" s="43"/>
      <c r="N503" s="43"/>
      <c r="O503" s="43"/>
      <c r="Q503" s="43"/>
      <c r="U503" s="606"/>
    </row>
    <row r="504" spans="1:21">
      <c r="A504" s="43"/>
      <c r="C504" s="43"/>
      <c r="D504" s="43"/>
      <c r="E504" s="43"/>
      <c r="F504" s="43"/>
      <c r="G504" s="43"/>
      <c r="H504" s="43"/>
      <c r="I504" s="43"/>
      <c r="J504" s="43"/>
      <c r="K504" s="43"/>
      <c r="L504" s="43"/>
      <c r="M504" s="43"/>
      <c r="N504" s="43"/>
      <c r="O504" s="43"/>
      <c r="Q504" s="43"/>
      <c r="U504" s="606"/>
    </row>
    <row r="505" spans="1:21">
      <c r="A505" s="43"/>
      <c r="C505" s="43"/>
      <c r="D505" s="43"/>
      <c r="E505" s="43"/>
      <c r="F505" s="43"/>
      <c r="G505" s="43"/>
      <c r="H505" s="43"/>
      <c r="I505" s="43"/>
      <c r="J505" s="43"/>
      <c r="K505" s="43"/>
      <c r="L505" s="43"/>
      <c r="M505" s="43"/>
      <c r="N505" s="43"/>
      <c r="O505" s="43"/>
      <c r="Q505" s="43"/>
      <c r="U505" s="606"/>
    </row>
    <row r="506" spans="1:21">
      <c r="A506" s="43"/>
      <c r="C506" s="43"/>
      <c r="D506" s="43"/>
      <c r="E506" s="43"/>
      <c r="F506" s="43"/>
      <c r="G506" s="43"/>
      <c r="H506" s="43"/>
      <c r="I506" s="43"/>
      <c r="J506" s="43"/>
      <c r="K506" s="43"/>
      <c r="L506" s="43"/>
      <c r="M506" s="43"/>
      <c r="N506" s="43"/>
      <c r="O506" s="43"/>
      <c r="Q506" s="43"/>
      <c r="U506" s="606"/>
    </row>
    <row r="507" spans="1:21">
      <c r="A507" s="43"/>
      <c r="C507" s="43"/>
      <c r="D507" s="43"/>
      <c r="E507" s="43"/>
      <c r="F507" s="43"/>
      <c r="G507" s="43"/>
      <c r="H507" s="43"/>
      <c r="I507" s="43"/>
      <c r="J507" s="43"/>
      <c r="K507" s="43"/>
      <c r="L507" s="43"/>
      <c r="M507" s="43"/>
      <c r="N507" s="43"/>
      <c r="O507" s="43"/>
      <c r="Q507" s="43"/>
      <c r="U507" s="606"/>
    </row>
    <row r="508" spans="1:21">
      <c r="A508" s="43"/>
      <c r="C508" s="43"/>
      <c r="D508" s="43"/>
      <c r="E508" s="43"/>
      <c r="F508" s="43"/>
      <c r="G508" s="43"/>
      <c r="H508" s="43"/>
      <c r="I508" s="43"/>
      <c r="J508" s="43"/>
      <c r="K508" s="43"/>
      <c r="L508" s="43"/>
      <c r="M508" s="43"/>
      <c r="N508" s="43"/>
      <c r="O508" s="43"/>
      <c r="Q508" s="43"/>
      <c r="U508" s="606"/>
    </row>
    <row r="509" spans="1:21">
      <c r="A509" s="43"/>
      <c r="C509" s="43"/>
      <c r="D509" s="43"/>
      <c r="E509" s="43"/>
      <c r="F509" s="43"/>
      <c r="G509" s="43"/>
      <c r="H509" s="43"/>
      <c r="I509" s="43"/>
      <c r="J509" s="43"/>
      <c r="K509" s="43"/>
      <c r="L509" s="43"/>
      <c r="M509" s="43"/>
      <c r="N509" s="43"/>
      <c r="O509" s="43"/>
      <c r="Q509" s="43"/>
      <c r="U509" s="606"/>
    </row>
    <row r="510" spans="1:21">
      <c r="A510" s="43"/>
      <c r="C510" s="43"/>
      <c r="D510" s="43"/>
      <c r="E510" s="43"/>
      <c r="F510" s="43"/>
      <c r="G510" s="43"/>
      <c r="H510" s="43"/>
      <c r="I510" s="43"/>
      <c r="J510" s="43"/>
      <c r="K510" s="43"/>
      <c r="L510" s="43"/>
      <c r="M510" s="43"/>
      <c r="N510" s="43"/>
      <c r="O510" s="43"/>
      <c r="Q510" s="43"/>
      <c r="U510" s="606"/>
    </row>
    <row r="511" spans="1:21">
      <c r="A511" s="43"/>
      <c r="C511" s="43"/>
      <c r="D511" s="43"/>
      <c r="E511" s="43"/>
      <c r="F511" s="43"/>
      <c r="G511" s="43"/>
      <c r="H511" s="43"/>
      <c r="I511" s="43"/>
      <c r="J511" s="43"/>
      <c r="K511" s="43"/>
      <c r="L511" s="43"/>
      <c r="M511" s="43"/>
      <c r="N511" s="43"/>
      <c r="O511" s="43"/>
      <c r="Q511" s="43"/>
      <c r="U511" s="606"/>
    </row>
    <row r="512" spans="1:21">
      <c r="A512" s="43"/>
      <c r="C512" s="43"/>
      <c r="D512" s="43"/>
      <c r="E512" s="43"/>
      <c r="F512" s="43"/>
      <c r="G512" s="43"/>
      <c r="H512" s="43"/>
      <c r="I512" s="43"/>
      <c r="J512" s="43"/>
      <c r="K512" s="43"/>
      <c r="L512" s="43"/>
      <c r="M512" s="43"/>
      <c r="N512" s="43"/>
      <c r="O512" s="43"/>
      <c r="Q512" s="43"/>
      <c r="U512" s="606"/>
    </row>
    <row r="513" spans="1:21">
      <c r="A513" s="43"/>
      <c r="C513" s="43"/>
      <c r="D513" s="43"/>
      <c r="E513" s="43"/>
      <c r="F513" s="43"/>
      <c r="G513" s="43"/>
      <c r="H513" s="43"/>
      <c r="I513" s="43"/>
      <c r="J513" s="43"/>
      <c r="K513" s="43"/>
      <c r="L513" s="43"/>
      <c r="M513" s="43"/>
      <c r="N513" s="43"/>
      <c r="O513" s="43"/>
      <c r="Q513" s="43"/>
      <c r="U513" s="606"/>
    </row>
    <row r="514" spans="1:21">
      <c r="A514" s="43"/>
      <c r="C514" s="43"/>
      <c r="D514" s="43"/>
      <c r="E514" s="43"/>
      <c r="F514" s="43"/>
      <c r="G514" s="43"/>
      <c r="H514" s="43"/>
      <c r="I514" s="43"/>
      <c r="J514" s="43"/>
      <c r="K514" s="43"/>
      <c r="L514" s="43"/>
      <c r="M514" s="43"/>
      <c r="N514" s="43"/>
      <c r="O514" s="43"/>
      <c r="Q514" s="43"/>
      <c r="U514" s="606"/>
    </row>
    <row r="515" spans="1:21">
      <c r="A515" s="43"/>
      <c r="C515" s="43"/>
      <c r="D515" s="43"/>
      <c r="E515" s="43"/>
      <c r="F515" s="43"/>
      <c r="G515" s="43"/>
      <c r="H515" s="43"/>
      <c r="I515" s="43"/>
      <c r="J515" s="43"/>
      <c r="K515" s="43"/>
      <c r="L515" s="43"/>
      <c r="M515" s="43"/>
      <c r="N515" s="43"/>
      <c r="O515" s="43"/>
      <c r="Q515" s="43"/>
      <c r="U515" s="606"/>
    </row>
    <row r="516" spans="1:21">
      <c r="A516" s="43"/>
      <c r="C516" s="43"/>
      <c r="D516" s="43"/>
      <c r="E516" s="43"/>
      <c r="F516" s="43"/>
      <c r="G516" s="43"/>
      <c r="H516" s="43"/>
      <c r="I516" s="43"/>
      <c r="J516" s="43"/>
      <c r="K516" s="43"/>
      <c r="L516" s="43"/>
      <c r="M516" s="43"/>
      <c r="N516" s="43"/>
      <c r="O516" s="43"/>
      <c r="Q516" s="43"/>
      <c r="U516" s="606"/>
    </row>
    <row r="517" spans="1:21">
      <c r="A517" s="43"/>
      <c r="C517" s="43"/>
      <c r="D517" s="43"/>
      <c r="E517" s="43"/>
      <c r="F517" s="43"/>
      <c r="G517" s="43"/>
      <c r="H517" s="43"/>
      <c r="I517" s="43"/>
      <c r="J517" s="43"/>
      <c r="K517" s="43"/>
      <c r="L517" s="43"/>
      <c r="M517" s="43"/>
      <c r="N517" s="43"/>
      <c r="O517" s="43"/>
      <c r="Q517" s="43"/>
      <c r="U517" s="606"/>
    </row>
    <row r="518" spans="1:21">
      <c r="A518" s="43"/>
      <c r="C518" s="43"/>
      <c r="D518" s="43"/>
      <c r="E518" s="43"/>
      <c r="F518" s="43"/>
      <c r="G518" s="43"/>
      <c r="H518" s="43"/>
      <c r="I518" s="43"/>
      <c r="J518" s="43"/>
      <c r="K518" s="43"/>
      <c r="L518" s="43"/>
      <c r="M518" s="43"/>
      <c r="N518" s="43"/>
      <c r="O518" s="43"/>
      <c r="Q518" s="43"/>
      <c r="U518" s="606"/>
    </row>
    <row r="519" spans="1:21">
      <c r="A519" s="43"/>
      <c r="C519" s="43"/>
      <c r="D519" s="43"/>
      <c r="E519" s="43"/>
      <c r="F519" s="43"/>
      <c r="G519" s="43"/>
      <c r="H519" s="43"/>
      <c r="I519" s="43"/>
      <c r="J519" s="43"/>
      <c r="K519" s="43"/>
      <c r="L519" s="43"/>
      <c r="M519" s="43"/>
      <c r="N519" s="43"/>
      <c r="O519" s="43"/>
      <c r="Q519" s="43"/>
      <c r="U519" s="606"/>
    </row>
    <row r="520" spans="1:21">
      <c r="A520" s="43"/>
      <c r="C520" s="43"/>
      <c r="D520" s="43"/>
      <c r="E520" s="43"/>
      <c r="F520" s="43"/>
      <c r="G520" s="43"/>
      <c r="H520" s="43"/>
      <c r="I520" s="43"/>
      <c r="J520" s="43"/>
      <c r="K520" s="43"/>
      <c r="L520" s="43"/>
      <c r="M520" s="43"/>
      <c r="N520" s="43"/>
      <c r="O520" s="43"/>
      <c r="Q520" s="43"/>
      <c r="U520" s="606"/>
    </row>
    <row r="521" spans="1:21">
      <c r="A521" s="43"/>
      <c r="C521" s="43"/>
      <c r="D521" s="43"/>
      <c r="E521" s="43"/>
      <c r="F521" s="43"/>
      <c r="G521" s="43"/>
      <c r="H521" s="43"/>
      <c r="I521" s="43"/>
      <c r="J521" s="43"/>
      <c r="K521" s="43"/>
      <c r="L521" s="43"/>
      <c r="M521" s="43"/>
      <c r="N521" s="43"/>
      <c r="O521" s="43"/>
      <c r="Q521" s="43"/>
      <c r="U521" s="606"/>
    </row>
    <row r="522" spans="1:21">
      <c r="A522" s="43"/>
      <c r="C522" s="43"/>
      <c r="D522" s="43"/>
      <c r="E522" s="43"/>
      <c r="F522" s="43"/>
      <c r="G522" s="43"/>
      <c r="H522" s="43"/>
      <c r="I522" s="43"/>
      <c r="J522" s="43"/>
      <c r="K522" s="43"/>
      <c r="L522" s="43"/>
      <c r="M522" s="43"/>
      <c r="N522" s="43"/>
      <c r="O522" s="43"/>
      <c r="Q522" s="43"/>
      <c r="U522" s="606"/>
    </row>
    <row r="523" spans="1:21">
      <c r="A523" s="43"/>
      <c r="C523" s="43"/>
      <c r="D523" s="43"/>
      <c r="E523" s="43"/>
      <c r="F523" s="43"/>
      <c r="G523" s="43"/>
      <c r="H523" s="43"/>
      <c r="I523" s="43"/>
      <c r="J523" s="43"/>
      <c r="K523" s="43"/>
      <c r="L523" s="43"/>
      <c r="M523" s="43"/>
      <c r="N523" s="43"/>
      <c r="O523" s="43"/>
      <c r="Q523" s="43"/>
      <c r="U523" s="606"/>
    </row>
    <row r="524" spans="1:21">
      <c r="A524" s="43"/>
      <c r="C524" s="43"/>
      <c r="D524" s="43"/>
      <c r="E524" s="43"/>
      <c r="F524" s="43"/>
      <c r="G524" s="43"/>
      <c r="H524" s="43"/>
      <c r="I524" s="43"/>
      <c r="J524" s="43"/>
      <c r="K524" s="43"/>
      <c r="L524" s="43"/>
      <c r="M524" s="43"/>
      <c r="N524" s="43"/>
      <c r="O524" s="43"/>
      <c r="Q524" s="43"/>
      <c r="U524" s="606"/>
    </row>
    <row r="525" spans="1:21">
      <c r="A525" s="43"/>
      <c r="C525" s="43"/>
      <c r="D525" s="43"/>
      <c r="E525" s="43"/>
      <c r="F525" s="43"/>
      <c r="G525" s="43"/>
      <c r="H525" s="43"/>
      <c r="I525" s="43"/>
      <c r="J525" s="43"/>
      <c r="K525" s="43"/>
      <c r="L525" s="43"/>
      <c r="M525" s="43"/>
      <c r="N525" s="43"/>
      <c r="O525" s="43"/>
      <c r="Q525" s="43"/>
      <c r="U525" s="606"/>
    </row>
    <row r="526" spans="1:21">
      <c r="A526" s="43"/>
      <c r="C526" s="43"/>
      <c r="D526" s="43"/>
      <c r="E526" s="43"/>
      <c r="F526" s="43"/>
      <c r="G526" s="43"/>
      <c r="H526" s="43"/>
      <c r="I526" s="43"/>
      <c r="J526" s="43"/>
      <c r="K526" s="43"/>
      <c r="L526" s="43"/>
      <c r="M526" s="43"/>
      <c r="N526" s="43"/>
      <c r="O526" s="43"/>
      <c r="Q526" s="43"/>
      <c r="U526" s="606"/>
    </row>
    <row r="527" spans="1:21">
      <c r="A527" s="43"/>
      <c r="C527" s="43"/>
      <c r="D527" s="43"/>
      <c r="E527" s="43"/>
      <c r="F527" s="43"/>
      <c r="G527" s="43"/>
      <c r="H527" s="43"/>
      <c r="I527" s="43"/>
      <c r="J527" s="43"/>
      <c r="K527" s="43"/>
      <c r="L527" s="43"/>
      <c r="M527" s="43"/>
      <c r="N527" s="43"/>
      <c r="O527" s="43"/>
      <c r="Q527" s="43"/>
      <c r="U527" s="606"/>
    </row>
    <row r="528" spans="1:21">
      <c r="A528" s="43"/>
      <c r="C528" s="43"/>
      <c r="D528" s="43"/>
      <c r="E528" s="43"/>
      <c r="F528" s="43"/>
      <c r="G528" s="43"/>
      <c r="H528" s="43"/>
      <c r="I528" s="43"/>
      <c r="J528" s="43"/>
      <c r="K528" s="43"/>
      <c r="L528" s="43"/>
      <c r="M528" s="43"/>
      <c r="N528" s="43"/>
      <c r="O528" s="43"/>
      <c r="Q528" s="43"/>
      <c r="U528" s="606"/>
    </row>
    <row r="529" spans="1:21">
      <c r="A529" s="43"/>
      <c r="C529" s="43"/>
      <c r="D529" s="43"/>
      <c r="E529" s="43"/>
      <c r="F529" s="43"/>
      <c r="G529" s="43"/>
      <c r="H529" s="43"/>
      <c r="I529" s="43"/>
      <c r="J529" s="43"/>
      <c r="K529" s="43"/>
      <c r="L529" s="43"/>
      <c r="M529" s="43"/>
      <c r="N529" s="43"/>
      <c r="O529" s="43"/>
      <c r="Q529" s="43"/>
      <c r="U529" s="606"/>
    </row>
    <row r="530" spans="1:21">
      <c r="A530" s="43"/>
      <c r="C530" s="43"/>
      <c r="D530" s="43"/>
      <c r="E530" s="43"/>
      <c r="F530" s="43"/>
      <c r="G530" s="43"/>
      <c r="H530" s="43"/>
      <c r="I530" s="43"/>
      <c r="J530" s="43"/>
      <c r="K530" s="43"/>
      <c r="L530" s="43"/>
      <c r="M530" s="43"/>
      <c r="N530" s="43"/>
      <c r="O530" s="43"/>
      <c r="Q530" s="43"/>
      <c r="U530" s="606"/>
    </row>
    <row r="531" spans="1:21">
      <c r="A531" s="43"/>
      <c r="C531" s="43"/>
      <c r="D531" s="43"/>
      <c r="E531" s="43"/>
      <c r="F531" s="43"/>
      <c r="G531" s="43"/>
      <c r="H531" s="43"/>
      <c r="I531" s="43"/>
      <c r="J531" s="43"/>
      <c r="K531" s="43"/>
      <c r="L531" s="43"/>
      <c r="M531" s="43"/>
      <c r="N531" s="43"/>
      <c r="O531" s="43"/>
      <c r="Q531" s="43"/>
      <c r="U531" s="606"/>
    </row>
    <row r="532" spans="1:21">
      <c r="A532" s="43"/>
      <c r="C532" s="43"/>
      <c r="D532" s="43"/>
      <c r="E532" s="43"/>
      <c r="F532" s="43"/>
      <c r="G532" s="43"/>
      <c r="H532" s="43"/>
      <c r="I532" s="43"/>
      <c r="J532" s="43"/>
      <c r="K532" s="43"/>
      <c r="L532" s="43"/>
      <c r="M532" s="43"/>
      <c r="N532" s="43"/>
      <c r="O532" s="43"/>
      <c r="Q532" s="43"/>
      <c r="U532" s="606"/>
    </row>
    <row r="533" spans="1:21">
      <c r="A533" s="43"/>
      <c r="C533" s="43"/>
      <c r="D533" s="43"/>
      <c r="E533" s="43"/>
      <c r="F533" s="43"/>
      <c r="G533" s="43"/>
      <c r="H533" s="43"/>
      <c r="I533" s="43"/>
      <c r="J533" s="43"/>
      <c r="K533" s="43"/>
      <c r="L533" s="43"/>
      <c r="M533" s="43"/>
      <c r="N533" s="43"/>
      <c r="O533" s="43"/>
      <c r="Q533" s="43"/>
      <c r="U533" s="606"/>
    </row>
    <row r="534" spans="1:21">
      <c r="A534" s="43"/>
      <c r="C534" s="43"/>
      <c r="D534" s="43"/>
      <c r="E534" s="43"/>
      <c r="F534" s="43"/>
      <c r="G534" s="43"/>
      <c r="H534" s="43"/>
      <c r="I534" s="43"/>
      <c r="J534" s="43"/>
      <c r="K534" s="43"/>
      <c r="L534" s="43"/>
      <c r="M534" s="43"/>
      <c r="N534" s="43"/>
      <c r="O534" s="43"/>
      <c r="Q534" s="43"/>
      <c r="U534" s="606"/>
    </row>
    <row r="535" spans="1:21">
      <c r="A535" s="43"/>
      <c r="C535" s="43"/>
      <c r="D535" s="43"/>
      <c r="E535" s="43"/>
      <c r="F535" s="43"/>
      <c r="G535" s="43"/>
      <c r="H535" s="43"/>
      <c r="I535" s="43"/>
      <c r="J535" s="43"/>
      <c r="K535" s="43"/>
      <c r="L535" s="43"/>
      <c r="M535" s="43"/>
      <c r="N535" s="43"/>
      <c r="O535" s="43"/>
      <c r="Q535" s="43"/>
      <c r="U535" s="606"/>
    </row>
    <row r="536" spans="1:21">
      <c r="A536" s="43"/>
      <c r="C536" s="43"/>
      <c r="D536" s="43"/>
      <c r="E536" s="43"/>
      <c r="F536" s="43"/>
      <c r="G536" s="43"/>
      <c r="H536" s="43"/>
      <c r="I536" s="43"/>
      <c r="J536" s="43"/>
      <c r="K536" s="43"/>
      <c r="L536" s="43"/>
      <c r="M536" s="43"/>
      <c r="N536" s="43"/>
      <c r="O536" s="43"/>
      <c r="Q536" s="43"/>
      <c r="U536" s="606"/>
    </row>
    <row r="537" spans="1:21">
      <c r="A537" s="43"/>
      <c r="C537" s="43"/>
      <c r="D537" s="43"/>
      <c r="E537" s="43"/>
      <c r="F537" s="43"/>
      <c r="G537" s="43"/>
      <c r="H537" s="43"/>
      <c r="I537" s="43"/>
      <c r="J537" s="43"/>
      <c r="K537" s="43"/>
      <c r="L537" s="43"/>
      <c r="M537" s="43"/>
      <c r="N537" s="43"/>
      <c r="O537" s="43"/>
      <c r="Q537" s="43"/>
      <c r="U537" s="606"/>
    </row>
    <row r="538" spans="1:21">
      <c r="A538" s="43"/>
      <c r="C538" s="43"/>
      <c r="D538" s="43"/>
      <c r="E538" s="43"/>
      <c r="F538" s="43"/>
      <c r="G538" s="43"/>
      <c r="H538" s="43"/>
      <c r="I538" s="43"/>
      <c r="J538" s="43"/>
      <c r="K538" s="43"/>
      <c r="L538" s="43"/>
      <c r="M538" s="43"/>
      <c r="N538" s="43"/>
      <c r="O538" s="43"/>
      <c r="Q538" s="43"/>
      <c r="U538" s="606"/>
    </row>
    <row r="539" spans="1:21">
      <c r="A539" s="43"/>
      <c r="C539" s="43"/>
      <c r="D539" s="43"/>
      <c r="E539" s="43"/>
      <c r="F539" s="43"/>
      <c r="G539" s="43"/>
      <c r="H539" s="43"/>
      <c r="I539" s="43"/>
      <c r="J539" s="43"/>
      <c r="K539" s="43"/>
      <c r="L539" s="43"/>
      <c r="M539" s="43"/>
      <c r="N539" s="43"/>
      <c r="O539" s="43"/>
      <c r="Q539" s="43"/>
      <c r="U539" s="606"/>
    </row>
    <row r="540" spans="1:21">
      <c r="A540" s="43"/>
      <c r="C540" s="43"/>
      <c r="D540" s="43"/>
      <c r="E540" s="43"/>
      <c r="F540" s="43"/>
      <c r="G540" s="43"/>
      <c r="H540" s="43"/>
      <c r="I540" s="43"/>
      <c r="J540" s="43"/>
      <c r="K540" s="43"/>
      <c r="L540" s="43"/>
      <c r="M540" s="43"/>
      <c r="N540" s="43"/>
      <c r="O540" s="43"/>
      <c r="Q540" s="43"/>
      <c r="U540" s="606"/>
    </row>
    <row r="541" spans="1:21">
      <c r="A541" s="43"/>
      <c r="C541" s="43"/>
      <c r="D541" s="43"/>
      <c r="E541" s="43"/>
      <c r="F541" s="43"/>
      <c r="G541" s="43"/>
      <c r="H541" s="43"/>
      <c r="I541" s="43"/>
      <c r="J541" s="43"/>
      <c r="K541" s="43"/>
      <c r="L541" s="43"/>
      <c r="M541" s="43"/>
      <c r="N541" s="43"/>
      <c r="O541" s="43"/>
      <c r="Q541" s="43"/>
      <c r="U541" s="606"/>
    </row>
    <row r="542" spans="1:21">
      <c r="A542" s="43"/>
      <c r="C542" s="43"/>
      <c r="D542" s="43"/>
      <c r="E542" s="43"/>
      <c r="F542" s="43"/>
      <c r="G542" s="43"/>
      <c r="H542" s="43"/>
      <c r="I542" s="43"/>
      <c r="J542" s="43"/>
      <c r="K542" s="43"/>
      <c r="L542" s="43"/>
      <c r="M542" s="43"/>
      <c r="N542" s="43"/>
      <c r="O542" s="43"/>
      <c r="Q542" s="43"/>
      <c r="U542" s="606"/>
    </row>
    <row r="543" spans="1:21">
      <c r="A543" s="43"/>
      <c r="C543" s="43"/>
      <c r="D543" s="43"/>
      <c r="E543" s="43"/>
      <c r="F543" s="43"/>
      <c r="G543" s="43"/>
      <c r="H543" s="43"/>
      <c r="I543" s="43"/>
      <c r="J543" s="43"/>
      <c r="K543" s="43"/>
      <c r="L543" s="43"/>
      <c r="M543" s="43"/>
      <c r="N543" s="43"/>
      <c r="O543" s="43"/>
      <c r="Q543" s="43"/>
      <c r="U543" s="606"/>
    </row>
    <row r="544" spans="1:21">
      <c r="A544" s="43"/>
      <c r="C544" s="43"/>
      <c r="D544" s="43"/>
      <c r="E544" s="43"/>
      <c r="F544" s="43"/>
      <c r="G544" s="43"/>
      <c r="H544" s="43"/>
      <c r="I544" s="43"/>
      <c r="J544" s="43"/>
      <c r="K544" s="43"/>
      <c r="L544" s="43"/>
      <c r="M544" s="43"/>
      <c r="N544" s="43"/>
      <c r="O544" s="43"/>
      <c r="Q544" s="43"/>
      <c r="U544" s="606"/>
    </row>
    <row r="545" spans="1:21">
      <c r="A545" s="43"/>
      <c r="C545" s="43"/>
      <c r="D545" s="43"/>
      <c r="E545" s="43"/>
      <c r="F545" s="43"/>
      <c r="G545" s="43"/>
      <c r="H545" s="43"/>
      <c r="I545" s="43"/>
      <c r="J545" s="43"/>
      <c r="K545" s="43"/>
      <c r="L545" s="43"/>
      <c r="M545" s="43"/>
      <c r="N545" s="43"/>
      <c r="O545" s="43"/>
      <c r="Q545" s="43"/>
      <c r="U545" s="606"/>
    </row>
    <row r="546" spans="1:21">
      <c r="A546" s="43"/>
      <c r="C546" s="43"/>
      <c r="D546" s="43"/>
      <c r="E546" s="43"/>
      <c r="F546" s="43"/>
      <c r="G546" s="43"/>
      <c r="H546" s="43"/>
      <c r="I546" s="43"/>
      <c r="J546" s="43"/>
      <c r="K546" s="43"/>
      <c r="L546" s="43"/>
      <c r="M546" s="43"/>
      <c r="N546" s="43"/>
      <c r="O546" s="43"/>
      <c r="Q546" s="43"/>
      <c r="U546" s="606"/>
    </row>
    <row r="547" spans="1:21">
      <c r="A547" s="43"/>
      <c r="C547" s="43"/>
      <c r="D547" s="43"/>
      <c r="E547" s="43"/>
      <c r="F547" s="43"/>
      <c r="G547" s="43"/>
      <c r="H547" s="43"/>
      <c r="I547" s="43"/>
      <c r="J547" s="43"/>
      <c r="K547" s="43"/>
      <c r="L547" s="43"/>
      <c r="M547" s="43"/>
      <c r="N547" s="43"/>
      <c r="O547" s="43"/>
      <c r="Q547" s="43"/>
      <c r="U547" s="606"/>
    </row>
    <row r="548" spans="1:21">
      <c r="A548" s="43"/>
      <c r="C548" s="43"/>
      <c r="D548" s="43"/>
      <c r="E548" s="43"/>
      <c r="F548" s="43"/>
      <c r="G548" s="43"/>
      <c r="H548" s="43"/>
      <c r="I548" s="43"/>
      <c r="J548" s="43"/>
      <c r="K548" s="43"/>
      <c r="L548" s="43"/>
      <c r="M548" s="43"/>
      <c r="N548" s="43"/>
      <c r="O548" s="43"/>
      <c r="Q548" s="43"/>
      <c r="U548" s="606"/>
    </row>
    <row r="549" spans="1:21">
      <c r="A549" s="43"/>
      <c r="C549" s="43"/>
      <c r="D549" s="43"/>
      <c r="E549" s="43"/>
      <c r="F549" s="43"/>
      <c r="G549" s="43"/>
      <c r="H549" s="43"/>
      <c r="I549" s="43"/>
      <c r="J549" s="43"/>
      <c r="K549" s="43"/>
      <c r="L549" s="43"/>
      <c r="M549" s="43"/>
      <c r="N549" s="43"/>
      <c r="O549" s="43"/>
      <c r="Q549" s="43"/>
      <c r="U549" s="606"/>
    </row>
    <row r="550" spans="1:21">
      <c r="A550" s="43"/>
      <c r="C550" s="43"/>
      <c r="D550" s="43"/>
      <c r="E550" s="43"/>
      <c r="F550" s="43"/>
      <c r="G550" s="43"/>
      <c r="H550" s="43"/>
      <c r="I550" s="43"/>
      <c r="J550" s="43"/>
      <c r="K550" s="43"/>
      <c r="L550" s="43"/>
      <c r="M550" s="43"/>
      <c r="N550" s="43"/>
      <c r="O550" s="43"/>
      <c r="Q550" s="43"/>
      <c r="U550" s="606"/>
    </row>
    <row r="551" spans="1:21">
      <c r="A551" s="43"/>
      <c r="C551" s="43"/>
      <c r="D551" s="43"/>
      <c r="E551" s="43"/>
      <c r="F551" s="43"/>
      <c r="G551" s="43"/>
      <c r="H551" s="43"/>
      <c r="I551" s="43"/>
      <c r="J551" s="43"/>
      <c r="K551" s="43"/>
      <c r="L551" s="43"/>
      <c r="M551" s="43"/>
      <c r="N551" s="43"/>
      <c r="O551" s="43"/>
      <c r="Q551" s="43"/>
      <c r="U551" s="606"/>
    </row>
    <row r="552" spans="1:21">
      <c r="A552" s="43"/>
      <c r="C552" s="43"/>
      <c r="D552" s="43"/>
      <c r="E552" s="43"/>
      <c r="F552" s="43"/>
      <c r="G552" s="43"/>
      <c r="H552" s="43"/>
      <c r="I552" s="43"/>
      <c r="J552" s="43"/>
      <c r="K552" s="43"/>
      <c r="L552" s="43"/>
      <c r="M552" s="43"/>
      <c r="N552" s="43"/>
      <c r="O552" s="43"/>
      <c r="Q552" s="43"/>
      <c r="U552" s="606"/>
    </row>
    <row r="553" spans="1:21">
      <c r="A553" s="43"/>
      <c r="C553" s="43"/>
      <c r="D553" s="43"/>
      <c r="E553" s="43"/>
      <c r="F553" s="43"/>
      <c r="G553" s="43"/>
      <c r="H553" s="43"/>
      <c r="I553" s="43"/>
      <c r="J553" s="43"/>
      <c r="K553" s="43"/>
      <c r="L553" s="43"/>
      <c r="M553" s="43"/>
      <c r="N553" s="43"/>
      <c r="O553" s="43"/>
      <c r="Q553" s="43"/>
      <c r="U553" s="606"/>
    </row>
    <row r="554" spans="1:21">
      <c r="A554" s="43"/>
      <c r="C554" s="43"/>
      <c r="D554" s="43"/>
      <c r="E554" s="43"/>
      <c r="F554" s="43"/>
      <c r="G554" s="43"/>
      <c r="H554" s="43"/>
      <c r="I554" s="43"/>
      <c r="J554" s="43"/>
      <c r="K554" s="43"/>
      <c r="L554" s="43"/>
      <c r="M554" s="43"/>
      <c r="N554" s="43"/>
      <c r="O554" s="43"/>
      <c r="Q554" s="43"/>
      <c r="U554" s="606"/>
    </row>
    <row r="555" spans="1:21">
      <c r="A555" s="43"/>
      <c r="C555" s="43"/>
      <c r="D555" s="43"/>
      <c r="E555" s="43"/>
      <c r="F555" s="43"/>
      <c r="G555" s="43"/>
      <c r="H555" s="43"/>
      <c r="I555" s="43"/>
      <c r="J555" s="43"/>
      <c r="K555" s="43"/>
      <c r="L555" s="43"/>
      <c r="M555" s="43"/>
      <c r="N555" s="43"/>
      <c r="O555" s="43"/>
      <c r="Q555" s="43"/>
      <c r="U555" s="606"/>
    </row>
    <row r="556" spans="1:21">
      <c r="A556" s="43"/>
      <c r="C556" s="43"/>
      <c r="D556" s="43"/>
      <c r="E556" s="43"/>
      <c r="F556" s="43"/>
      <c r="G556" s="43"/>
      <c r="H556" s="43"/>
      <c r="I556" s="43"/>
      <c r="J556" s="43"/>
      <c r="K556" s="43"/>
      <c r="L556" s="43"/>
      <c r="M556" s="43"/>
      <c r="N556" s="43"/>
      <c r="O556" s="43"/>
      <c r="Q556" s="43"/>
      <c r="U556" s="606"/>
    </row>
    <row r="557" spans="1:21">
      <c r="A557" s="43"/>
      <c r="C557" s="43"/>
      <c r="D557" s="43"/>
      <c r="E557" s="43"/>
      <c r="F557" s="43"/>
      <c r="G557" s="43"/>
      <c r="H557" s="43"/>
      <c r="I557" s="43"/>
      <c r="J557" s="43"/>
      <c r="K557" s="43"/>
      <c r="L557" s="43"/>
      <c r="M557" s="43"/>
      <c r="N557" s="43"/>
      <c r="O557" s="43"/>
      <c r="Q557" s="43"/>
      <c r="U557" s="606"/>
    </row>
    <row r="558" spans="1:21">
      <c r="A558" s="43"/>
      <c r="C558" s="43"/>
      <c r="D558" s="43"/>
      <c r="E558" s="43"/>
      <c r="F558" s="43"/>
      <c r="G558" s="43"/>
      <c r="H558" s="43"/>
      <c r="I558" s="43"/>
      <c r="J558" s="43"/>
      <c r="K558" s="43"/>
      <c r="L558" s="43"/>
      <c r="M558" s="43"/>
      <c r="N558" s="43"/>
      <c r="O558" s="43"/>
      <c r="Q558" s="43"/>
      <c r="U558" s="606"/>
    </row>
    <row r="559" spans="1:21">
      <c r="A559" s="43"/>
      <c r="C559" s="43"/>
      <c r="D559" s="43"/>
      <c r="E559" s="43"/>
      <c r="F559" s="43"/>
      <c r="G559" s="43"/>
      <c r="H559" s="43"/>
      <c r="I559" s="43"/>
      <c r="J559" s="43"/>
      <c r="K559" s="43"/>
      <c r="L559" s="43"/>
      <c r="M559" s="43"/>
      <c r="N559" s="43"/>
      <c r="O559" s="43"/>
      <c r="Q559" s="43"/>
      <c r="U559" s="606"/>
    </row>
    <row r="560" spans="1:21">
      <c r="A560" s="43"/>
      <c r="C560" s="43"/>
      <c r="D560" s="43"/>
      <c r="E560" s="43"/>
      <c r="F560" s="43"/>
      <c r="G560" s="43"/>
      <c r="H560" s="43"/>
      <c r="I560" s="43"/>
      <c r="J560" s="43"/>
      <c r="K560" s="43"/>
      <c r="L560" s="43"/>
      <c r="M560" s="43"/>
      <c r="N560" s="43"/>
      <c r="O560" s="43"/>
      <c r="Q560" s="43"/>
      <c r="U560" s="606"/>
    </row>
    <row r="561" spans="1:21">
      <c r="A561" s="43"/>
      <c r="C561" s="43"/>
      <c r="D561" s="43"/>
      <c r="E561" s="43"/>
      <c r="F561" s="43"/>
      <c r="G561" s="43"/>
      <c r="H561" s="43"/>
      <c r="I561" s="43"/>
      <c r="J561" s="43"/>
      <c r="K561" s="43"/>
      <c r="L561" s="43"/>
      <c r="M561" s="43"/>
      <c r="N561" s="43"/>
      <c r="O561" s="43"/>
      <c r="Q561" s="43"/>
      <c r="U561" s="606"/>
    </row>
    <row r="562" spans="1:21">
      <c r="A562" s="43"/>
      <c r="C562" s="43"/>
      <c r="D562" s="43"/>
      <c r="E562" s="43"/>
      <c r="F562" s="43"/>
      <c r="G562" s="43"/>
      <c r="H562" s="43"/>
      <c r="I562" s="43"/>
      <c r="J562" s="43"/>
      <c r="K562" s="43"/>
      <c r="L562" s="43"/>
      <c r="M562" s="43"/>
      <c r="N562" s="43"/>
      <c r="O562" s="43"/>
      <c r="Q562" s="43"/>
      <c r="U562" s="606"/>
    </row>
    <row r="563" spans="1:21">
      <c r="A563" s="43"/>
      <c r="C563" s="43"/>
      <c r="D563" s="43"/>
      <c r="E563" s="43"/>
      <c r="F563" s="43"/>
      <c r="G563" s="43"/>
      <c r="H563" s="43"/>
      <c r="I563" s="43"/>
      <c r="J563" s="43"/>
      <c r="K563" s="43"/>
      <c r="L563" s="43"/>
      <c r="M563" s="43"/>
      <c r="N563" s="43"/>
      <c r="O563" s="43"/>
      <c r="Q563" s="43"/>
      <c r="U563" s="606"/>
    </row>
    <row r="564" spans="1:21">
      <c r="A564" s="43"/>
      <c r="C564" s="43"/>
      <c r="D564" s="43"/>
      <c r="E564" s="43"/>
      <c r="F564" s="43"/>
      <c r="G564" s="43"/>
      <c r="H564" s="43"/>
      <c r="I564" s="43"/>
      <c r="J564" s="43"/>
      <c r="K564" s="43"/>
      <c r="L564" s="43"/>
      <c r="M564" s="43"/>
      <c r="N564" s="43"/>
      <c r="O564" s="43"/>
      <c r="Q564" s="43"/>
      <c r="U564" s="606"/>
    </row>
    <row r="565" spans="1:21">
      <c r="A565" s="43"/>
      <c r="C565" s="43"/>
      <c r="D565" s="43"/>
      <c r="E565" s="43"/>
      <c r="F565" s="43"/>
      <c r="G565" s="43"/>
      <c r="H565" s="43"/>
      <c r="I565" s="43"/>
      <c r="J565" s="43"/>
      <c r="K565" s="43"/>
      <c r="L565" s="43"/>
      <c r="M565" s="43"/>
      <c r="N565" s="43"/>
      <c r="O565" s="43"/>
      <c r="Q565" s="43"/>
      <c r="U565" s="606"/>
    </row>
    <row r="566" spans="1:21">
      <c r="A566" s="43"/>
      <c r="C566" s="43"/>
      <c r="D566" s="43"/>
      <c r="E566" s="43"/>
      <c r="F566" s="43"/>
      <c r="G566" s="43"/>
      <c r="H566" s="43"/>
      <c r="I566" s="43"/>
      <c r="J566" s="43"/>
      <c r="K566" s="43"/>
      <c r="L566" s="43"/>
      <c r="M566" s="43"/>
      <c r="N566" s="43"/>
      <c r="O566" s="43"/>
      <c r="Q566" s="43"/>
      <c r="U566" s="606"/>
    </row>
    <row r="567" spans="1:21">
      <c r="A567" s="43"/>
      <c r="C567" s="43"/>
      <c r="D567" s="43"/>
      <c r="E567" s="43"/>
      <c r="F567" s="43"/>
      <c r="G567" s="43"/>
      <c r="H567" s="43"/>
      <c r="I567" s="43"/>
      <c r="J567" s="43"/>
      <c r="K567" s="43"/>
      <c r="L567" s="43"/>
      <c r="M567" s="43"/>
      <c r="N567" s="43"/>
      <c r="O567" s="43"/>
      <c r="Q567" s="43"/>
      <c r="U567" s="606"/>
    </row>
    <row r="568" spans="1:21">
      <c r="A568" s="43"/>
      <c r="C568" s="43"/>
      <c r="D568" s="43"/>
      <c r="E568" s="43"/>
      <c r="F568" s="43"/>
      <c r="G568" s="43"/>
      <c r="H568" s="43"/>
      <c r="I568" s="43"/>
      <c r="J568" s="43"/>
      <c r="K568" s="43"/>
      <c r="L568" s="43"/>
      <c r="M568" s="43"/>
      <c r="N568" s="43"/>
      <c r="O568" s="43"/>
      <c r="Q568" s="43"/>
      <c r="U568" s="606"/>
    </row>
    <row r="569" spans="1:21">
      <c r="A569" s="43"/>
      <c r="C569" s="43"/>
      <c r="D569" s="43"/>
      <c r="E569" s="43"/>
      <c r="F569" s="43"/>
      <c r="G569" s="43"/>
      <c r="H569" s="43"/>
      <c r="I569" s="43"/>
      <c r="J569" s="43"/>
      <c r="K569" s="43"/>
      <c r="L569" s="43"/>
      <c r="M569" s="43"/>
      <c r="N569" s="43"/>
      <c r="O569" s="43"/>
      <c r="Q569" s="43"/>
      <c r="U569" s="606"/>
    </row>
    <row r="570" spans="1:21">
      <c r="A570" s="43"/>
      <c r="C570" s="43"/>
      <c r="D570" s="43"/>
      <c r="E570" s="43"/>
      <c r="F570" s="43"/>
      <c r="G570" s="43"/>
      <c r="H570" s="43"/>
      <c r="I570" s="43"/>
      <c r="J570" s="43"/>
      <c r="K570" s="43"/>
      <c r="L570" s="43"/>
      <c r="M570" s="43"/>
      <c r="N570" s="43"/>
      <c r="O570" s="43"/>
      <c r="Q570" s="43"/>
      <c r="U570" s="606"/>
    </row>
    <row r="571" spans="1:21">
      <c r="A571" s="43"/>
      <c r="C571" s="43"/>
      <c r="D571" s="43"/>
      <c r="E571" s="43"/>
      <c r="F571" s="43"/>
      <c r="G571" s="43"/>
      <c r="H571" s="43"/>
      <c r="I571" s="43"/>
      <c r="J571" s="43"/>
      <c r="K571" s="43"/>
      <c r="L571" s="43"/>
      <c r="M571" s="43"/>
      <c r="N571" s="43"/>
      <c r="O571" s="43"/>
      <c r="Q571" s="43"/>
      <c r="U571" s="606"/>
    </row>
    <row r="572" spans="1:21">
      <c r="A572" s="43"/>
      <c r="C572" s="43"/>
      <c r="D572" s="43"/>
      <c r="E572" s="43"/>
      <c r="F572" s="43"/>
      <c r="G572" s="43"/>
      <c r="H572" s="43"/>
      <c r="I572" s="43"/>
      <c r="J572" s="43"/>
      <c r="K572" s="43"/>
      <c r="L572" s="43"/>
      <c r="M572" s="43"/>
      <c r="N572" s="43"/>
      <c r="O572" s="43"/>
      <c r="Q572" s="43"/>
      <c r="U572" s="606"/>
    </row>
    <row r="573" spans="1:21">
      <c r="A573" s="43"/>
      <c r="C573" s="43"/>
      <c r="D573" s="43"/>
      <c r="E573" s="43"/>
      <c r="F573" s="43"/>
      <c r="G573" s="43"/>
      <c r="H573" s="43"/>
      <c r="I573" s="43"/>
      <c r="J573" s="43"/>
      <c r="K573" s="43"/>
      <c r="L573" s="43"/>
      <c r="M573" s="43"/>
      <c r="N573" s="43"/>
      <c r="O573" s="43"/>
      <c r="Q573" s="43"/>
      <c r="U573" s="606"/>
    </row>
    <row r="574" spans="1:21">
      <c r="A574" s="43"/>
      <c r="C574" s="43"/>
      <c r="D574" s="43"/>
      <c r="E574" s="43"/>
      <c r="F574" s="43"/>
      <c r="G574" s="43"/>
      <c r="H574" s="43"/>
      <c r="I574" s="43"/>
      <c r="J574" s="43"/>
      <c r="K574" s="43"/>
      <c r="L574" s="43"/>
      <c r="M574" s="43"/>
      <c r="N574" s="43"/>
      <c r="O574" s="43"/>
      <c r="Q574" s="43"/>
      <c r="U574" s="606"/>
    </row>
    <row r="575" spans="1:21">
      <c r="A575" s="43"/>
      <c r="C575" s="43"/>
      <c r="D575" s="43"/>
      <c r="E575" s="43"/>
      <c r="F575" s="43"/>
      <c r="G575" s="43"/>
      <c r="H575" s="43"/>
      <c r="I575" s="43"/>
      <c r="J575" s="43"/>
      <c r="K575" s="43"/>
      <c r="L575" s="43"/>
      <c r="M575" s="43"/>
      <c r="N575" s="43"/>
      <c r="O575" s="43"/>
      <c r="Q575" s="43"/>
      <c r="U575" s="606"/>
    </row>
    <row r="576" spans="1:21">
      <c r="A576" s="43"/>
      <c r="C576" s="43"/>
      <c r="D576" s="43"/>
      <c r="E576" s="43"/>
      <c r="F576" s="43"/>
      <c r="G576" s="43"/>
      <c r="H576" s="43"/>
      <c r="I576" s="43"/>
      <c r="J576" s="43"/>
      <c r="K576" s="43"/>
      <c r="L576" s="43"/>
      <c r="M576" s="43"/>
      <c r="N576" s="43"/>
      <c r="O576" s="43"/>
      <c r="Q576" s="43"/>
      <c r="U576" s="606"/>
    </row>
    <row r="577" spans="1:21">
      <c r="A577" s="43"/>
      <c r="C577" s="43"/>
      <c r="D577" s="43"/>
      <c r="E577" s="43"/>
      <c r="F577" s="43"/>
      <c r="G577" s="43"/>
      <c r="H577" s="43"/>
      <c r="I577" s="43"/>
      <c r="J577" s="43"/>
      <c r="K577" s="43"/>
      <c r="L577" s="43"/>
      <c r="M577" s="43"/>
      <c r="N577" s="43"/>
      <c r="O577" s="43"/>
      <c r="Q577" s="43"/>
      <c r="U577" s="606"/>
    </row>
    <row r="578" spans="1:21">
      <c r="A578" s="43"/>
      <c r="C578" s="43"/>
      <c r="D578" s="43"/>
      <c r="E578" s="43"/>
      <c r="F578" s="43"/>
      <c r="G578" s="43"/>
      <c r="H578" s="43"/>
      <c r="I578" s="43"/>
      <c r="J578" s="43"/>
      <c r="K578" s="43"/>
      <c r="L578" s="43"/>
      <c r="M578" s="43"/>
      <c r="N578" s="43"/>
      <c r="O578" s="43"/>
      <c r="Q578" s="43"/>
      <c r="U578" s="606"/>
    </row>
    <row r="579" spans="1:21">
      <c r="A579" s="43"/>
      <c r="C579" s="43"/>
      <c r="D579" s="43"/>
      <c r="E579" s="43"/>
      <c r="F579" s="43"/>
      <c r="G579" s="43"/>
      <c r="H579" s="43"/>
      <c r="I579" s="43"/>
      <c r="J579" s="43"/>
      <c r="K579" s="43"/>
      <c r="L579" s="43"/>
      <c r="M579" s="43"/>
      <c r="N579" s="43"/>
      <c r="O579" s="43"/>
      <c r="Q579" s="43"/>
      <c r="U579" s="606"/>
    </row>
    <row r="580" spans="1:21">
      <c r="A580" s="43"/>
      <c r="C580" s="43"/>
      <c r="D580" s="43"/>
      <c r="E580" s="43"/>
      <c r="F580" s="43"/>
      <c r="G580" s="43"/>
      <c r="H580" s="43"/>
      <c r="I580" s="43"/>
      <c r="J580" s="43"/>
      <c r="K580" s="43"/>
      <c r="L580" s="43"/>
      <c r="M580" s="43"/>
      <c r="N580" s="43"/>
      <c r="O580" s="43"/>
      <c r="Q580" s="43"/>
      <c r="U580" s="606"/>
    </row>
    <row r="581" spans="1:21">
      <c r="A581" s="43"/>
      <c r="C581" s="43"/>
      <c r="D581" s="43"/>
      <c r="E581" s="43"/>
      <c r="F581" s="43"/>
      <c r="G581" s="43"/>
      <c r="H581" s="43"/>
      <c r="I581" s="43"/>
      <c r="J581" s="43"/>
      <c r="K581" s="43"/>
      <c r="L581" s="43"/>
      <c r="M581" s="43"/>
      <c r="N581" s="43"/>
      <c r="O581" s="43"/>
      <c r="Q581" s="43"/>
      <c r="U581" s="606"/>
    </row>
    <row r="582" spans="1:21">
      <c r="A582" s="43"/>
      <c r="C582" s="43"/>
      <c r="D582" s="43"/>
      <c r="E582" s="43"/>
      <c r="F582" s="43"/>
      <c r="G582" s="43"/>
      <c r="H582" s="43"/>
      <c r="I582" s="43"/>
      <c r="J582" s="43"/>
      <c r="K582" s="43"/>
      <c r="L582" s="43"/>
      <c r="M582" s="43"/>
      <c r="N582" s="43"/>
      <c r="O582" s="43"/>
      <c r="Q582" s="43"/>
      <c r="U582" s="606"/>
    </row>
    <row r="583" spans="1:21">
      <c r="A583" s="43"/>
      <c r="C583" s="43"/>
      <c r="D583" s="43"/>
      <c r="E583" s="43"/>
      <c r="F583" s="43"/>
      <c r="G583" s="43"/>
      <c r="H583" s="43"/>
      <c r="I583" s="43"/>
      <c r="J583" s="43"/>
      <c r="K583" s="43"/>
      <c r="L583" s="43"/>
      <c r="M583" s="43"/>
      <c r="N583" s="43"/>
      <c r="O583" s="43"/>
      <c r="Q583" s="43"/>
      <c r="U583" s="606"/>
    </row>
    <row r="584" spans="1:21">
      <c r="A584" s="43"/>
      <c r="C584" s="43"/>
      <c r="D584" s="43"/>
      <c r="E584" s="43"/>
      <c r="F584" s="43"/>
      <c r="G584" s="43"/>
      <c r="H584" s="43"/>
      <c r="I584" s="43"/>
      <c r="J584" s="43"/>
      <c r="K584" s="43"/>
      <c r="L584" s="43"/>
      <c r="M584" s="43"/>
      <c r="N584" s="43"/>
      <c r="O584" s="43"/>
      <c r="Q584" s="43"/>
      <c r="U584" s="606"/>
    </row>
    <row r="585" spans="1:21">
      <c r="A585" s="43"/>
      <c r="C585" s="43"/>
      <c r="D585" s="43"/>
      <c r="E585" s="43"/>
      <c r="F585" s="43"/>
      <c r="G585" s="43"/>
      <c r="H585" s="43"/>
      <c r="I585" s="43"/>
      <c r="J585" s="43"/>
      <c r="K585" s="43"/>
      <c r="L585" s="43"/>
      <c r="M585" s="43"/>
      <c r="N585" s="43"/>
      <c r="O585" s="43"/>
      <c r="Q585" s="43"/>
      <c r="U585" s="606"/>
    </row>
    <row r="586" spans="1:21">
      <c r="A586" s="43"/>
      <c r="C586" s="43"/>
      <c r="D586" s="43"/>
      <c r="E586" s="43"/>
      <c r="F586" s="43"/>
      <c r="G586" s="43"/>
      <c r="H586" s="43"/>
      <c r="I586" s="43"/>
      <c r="J586" s="43"/>
      <c r="K586" s="43"/>
      <c r="L586" s="43"/>
      <c r="M586" s="43"/>
      <c r="N586" s="43"/>
      <c r="O586" s="43"/>
      <c r="Q586" s="43"/>
      <c r="U586" s="606"/>
    </row>
    <row r="587" spans="1:21">
      <c r="A587" s="43"/>
      <c r="C587" s="43"/>
      <c r="D587" s="43"/>
      <c r="E587" s="43"/>
      <c r="F587" s="43"/>
      <c r="G587" s="43"/>
      <c r="H587" s="43"/>
      <c r="I587" s="43"/>
      <c r="J587" s="43"/>
      <c r="K587" s="43"/>
      <c r="L587" s="43"/>
      <c r="M587" s="43"/>
      <c r="N587" s="43"/>
      <c r="O587" s="43"/>
      <c r="Q587" s="43"/>
      <c r="U587" s="606"/>
    </row>
    <row r="588" spans="1:21">
      <c r="A588" s="43"/>
      <c r="C588" s="43"/>
      <c r="D588" s="43"/>
      <c r="E588" s="43"/>
      <c r="F588" s="43"/>
      <c r="G588" s="43"/>
      <c r="H588" s="43"/>
      <c r="I588" s="43"/>
      <c r="J588" s="43"/>
      <c r="K588" s="43"/>
      <c r="L588" s="43"/>
      <c r="M588" s="43"/>
      <c r="N588" s="43"/>
      <c r="O588" s="43"/>
      <c r="Q588" s="43"/>
      <c r="U588" s="606"/>
    </row>
    <row r="589" spans="1:21">
      <c r="A589" s="43"/>
      <c r="C589" s="43"/>
      <c r="D589" s="43"/>
      <c r="E589" s="43"/>
      <c r="F589" s="43"/>
      <c r="G589" s="43"/>
      <c r="H589" s="43"/>
      <c r="I589" s="43"/>
      <c r="J589" s="43"/>
      <c r="K589" s="43"/>
      <c r="L589" s="43"/>
      <c r="M589" s="43"/>
      <c r="N589" s="43"/>
      <c r="O589" s="43"/>
      <c r="Q589" s="43"/>
      <c r="U589" s="606"/>
    </row>
    <row r="590" spans="1:21">
      <c r="A590" s="43"/>
      <c r="C590" s="43"/>
      <c r="D590" s="43"/>
      <c r="E590" s="43"/>
      <c r="F590" s="43"/>
      <c r="G590" s="43"/>
      <c r="H590" s="43"/>
      <c r="I590" s="43"/>
      <c r="J590" s="43"/>
      <c r="K590" s="43"/>
      <c r="L590" s="43"/>
      <c r="M590" s="43"/>
      <c r="N590" s="43"/>
      <c r="O590" s="43"/>
      <c r="Q590" s="43"/>
      <c r="U590" s="606"/>
    </row>
    <row r="591" spans="1:21">
      <c r="A591" s="43"/>
      <c r="C591" s="43"/>
      <c r="D591" s="43"/>
      <c r="E591" s="43"/>
      <c r="F591" s="43"/>
      <c r="G591" s="43"/>
      <c r="H591" s="43"/>
      <c r="I591" s="43"/>
      <c r="J591" s="43"/>
      <c r="K591" s="43"/>
      <c r="L591" s="43"/>
      <c r="M591" s="43"/>
      <c r="N591" s="43"/>
      <c r="O591" s="43"/>
      <c r="Q591" s="43"/>
      <c r="U591" s="606"/>
    </row>
    <row r="592" spans="1:21">
      <c r="A592" s="43"/>
      <c r="C592" s="43"/>
      <c r="D592" s="43"/>
      <c r="E592" s="43"/>
      <c r="F592" s="43"/>
      <c r="G592" s="43"/>
      <c r="H592" s="43"/>
      <c r="I592" s="43"/>
      <c r="J592" s="43"/>
      <c r="K592" s="43"/>
      <c r="L592" s="43"/>
      <c r="M592" s="43"/>
      <c r="N592" s="43"/>
      <c r="O592" s="43"/>
      <c r="Q592" s="43"/>
      <c r="U592" s="606"/>
    </row>
    <row r="593" spans="1:21">
      <c r="A593" s="43"/>
      <c r="C593" s="43"/>
      <c r="D593" s="43"/>
      <c r="E593" s="43"/>
      <c r="F593" s="43"/>
      <c r="G593" s="43"/>
      <c r="H593" s="43"/>
      <c r="I593" s="43"/>
      <c r="J593" s="43"/>
      <c r="K593" s="43"/>
      <c r="L593" s="43"/>
      <c r="M593" s="43"/>
      <c r="N593" s="43"/>
      <c r="O593" s="43"/>
      <c r="Q593" s="43"/>
      <c r="U593" s="606"/>
    </row>
    <row r="594" spans="1:21">
      <c r="A594" s="43"/>
      <c r="C594" s="43"/>
      <c r="D594" s="43"/>
      <c r="E594" s="43"/>
      <c r="F594" s="43"/>
      <c r="G594" s="43"/>
      <c r="H594" s="43"/>
      <c r="I594" s="43"/>
      <c r="J594" s="43"/>
      <c r="K594" s="43"/>
      <c r="L594" s="43"/>
      <c r="M594" s="43"/>
      <c r="N594" s="43"/>
      <c r="O594" s="43"/>
      <c r="Q594" s="43"/>
      <c r="U594" s="606"/>
    </row>
    <row r="595" spans="1:21">
      <c r="A595" s="43"/>
      <c r="C595" s="43"/>
      <c r="D595" s="43"/>
      <c r="E595" s="43"/>
      <c r="F595" s="43"/>
      <c r="G595" s="43"/>
      <c r="H595" s="43"/>
      <c r="I595" s="43"/>
      <c r="J595" s="43"/>
      <c r="K595" s="43"/>
      <c r="L595" s="43"/>
      <c r="M595" s="43"/>
      <c r="N595" s="43"/>
      <c r="O595" s="43"/>
      <c r="Q595" s="43"/>
      <c r="U595" s="606"/>
    </row>
    <row r="596" spans="1:21">
      <c r="A596" s="43"/>
      <c r="C596" s="43"/>
      <c r="D596" s="43"/>
      <c r="E596" s="43"/>
      <c r="F596" s="43"/>
      <c r="G596" s="43"/>
      <c r="H596" s="43"/>
      <c r="I596" s="43"/>
      <c r="J596" s="43"/>
      <c r="K596" s="43"/>
      <c r="L596" s="43"/>
      <c r="M596" s="43"/>
      <c r="N596" s="43"/>
      <c r="O596" s="43"/>
      <c r="Q596" s="43"/>
      <c r="U596" s="606"/>
    </row>
    <row r="597" spans="1:21">
      <c r="A597" s="43"/>
      <c r="C597" s="43"/>
      <c r="D597" s="43"/>
      <c r="E597" s="43"/>
      <c r="F597" s="43"/>
      <c r="G597" s="43"/>
      <c r="H597" s="43"/>
      <c r="I597" s="43"/>
      <c r="J597" s="43"/>
      <c r="K597" s="43"/>
      <c r="L597" s="43"/>
      <c r="M597" s="43"/>
      <c r="N597" s="43"/>
      <c r="O597" s="43"/>
      <c r="Q597" s="43"/>
      <c r="U597" s="606"/>
    </row>
    <row r="598" spans="1:21">
      <c r="A598" s="43"/>
      <c r="C598" s="43"/>
      <c r="D598" s="43"/>
      <c r="E598" s="43"/>
      <c r="F598" s="43"/>
      <c r="G598" s="43"/>
      <c r="H598" s="43"/>
      <c r="I598" s="43"/>
      <c r="J598" s="43"/>
      <c r="K598" s="43"/>
      <c r="L598" s="43"/>
      <c r="M598" s="43"/>
      <c r="N598" s="43"/>
      <c r="O598" s="43"/>
      <c r="Q598" s="43"/>
      <c r="U598" s="606"/>
    </row>
    <row r="599" spans="1:21">
      <c r="A599" s="43"/>
      <c r="C599" s="43"/>
      <c r="D599" s="43"/>
      <c r="E599" s="43"/>
      <c r="F599" s="43"/>
      <c r="G599" s="43"/>
      <c r="H599" s="43"/>
      <c r="I599" s="43"/>
      <c r="J599" s="43"/>
      <c r="K599" s="43"/>
      <c r="L599" s="43"/>
      <c r="M599" s="43"/>
      <c r="N599" s="43"/>
      <c r="O599" s="43"/>
      <c r="Q599" s="43"/>
      <c r="U599" s="606"/>
    </row>
    <row r="600" spans="1:21">
      <c r="A600" s="43"/>
      <c r="C600" s="43"/>
      <c r="D600" s="43"/>
      <c r="E600" s="43"/>
      <c r="F600" s="43"/>
      <c r="G600" s="43"/>
      <c r="H600" s="43"/>
      <c r="I600" s="43"/>
      <c r="J600" s="43"/>
      <c r="K600" s="43"/>
      <c r="L600" s="43"/>
      <c r="M600" s="43"/>
      <c r="N600" s="43"/>
      <c r="O600" s="43"/>
      <c r="Q600" s="43"/>
      <c r="U600" s="606"/>
    </row>
    <row r="601" spans="1:21">
      <c r="A601" s="43"/>
      <c r="C601" s="43"/>
      <c r="D601" s="43"/>
      <c r="E601" s="43"/>
      <c r="F601" s="43"/>
      <c r="G601" s="43"/>
      <c r="H601" s="43"/>
      <c r="I601" s="43"/>
      <c r="J601" s="43"/>
      <c r="K601" s="43"/>
      <c r="L601" s="43"/>
      <c r="M601" s="43"/>
      <c r="N601" s="43"/>
      <c r="O601" s="43"/>
      <c r="Q601" s="43"/>
      <c r="U601" s="606"/>
    </row>
    <row r="602" spans="1:21">
      <c r="A602" s="43"/>
      <c r="C602" s="43"/>
      <c r="D602" s="43"/>
      <c r="E602" s="43"/>
      <c r="F602" s="43"/>
      <c r="G602" s="43"/>
      <c r="H602" s="43"/>
      <c r="I602" s="43"/>
      <c r="J602" s="43"/>
      <c r="K602" s="43"/>
      <c r="L602" s="43"/>
      <c r="M602" s="43"/>
      <c r="N602" s="43"/>
      <c r="O602" s="43"/>
      <c r="Q602" s="43"/>
      <c r="U602" s="606"/>
    </row>
    <row r="603" spans="1:21">
      <c r="A603" s="43"/>
      <c r="C603" s="43"/>
      <c r="D603" s="43"/>
      <c r="E603" s="43"/>
      <c r="F603" s="43"/>
      <c r="G603" s="43"/>
      <c r="H603" s="43"/>
      <c r="I603" s="43"/>
      <c r="J603" s="43"/>
      <c r="K603" s="43"/>
      <c r="L603" s="43"/>
      <c r="M603" s="43"/>
      <c r="N603" s="43"/>
      <c r="O603" s="43"/>
      <c r="Q603" s="43"/>
      <c r="U603" s="606"/>
    </row>
    <row r="604" spans="1:21">
      <c r="A604" s="43"/>
      <c r="C604" s="43"/>
      <c r="D604" s="43"/>
      <c r="E604" s="43"/>
      <c r="F604" s="43"/>
      <c r="G604" s="43"/>
      <c r="H604" s="43"/>
      <c r="I604" s="43"/>
      <c r="J604" s="43"/>
      <c r="K604" s="43"/>
      <c r="L604" s="43"/>
      <c r="M604" s="43"/>
      <c r="N604" s="43"/>
      <c r="O604" s="43"/>
      <c r="Q604" s="43"/>
      <c r="U604" s="606"/>
    </row>
    <row r="605" spans="1:21">
      <c r="A605" s="43"/>
      <c r="C605" s="43"/>
      <c r="D605" s="43"/>
      <c r="E605" s="43"/>
      <c r="F605" s="43"/>
      <c r="G605" s="43"/>
      <c r="H605" s="43"/>
      <c r="I605" s="43"/>
      <c r="J605" s="43"/>
      <c r="K605" s="43"/>
      <c r="L605" s="43"/>
      <c r="M605" s="43"/>
      <c r="N605" s="43"/>
      <c r="O605" s="43"/>
      <c r="Q605" s="43"/>
      <c r="U605" s="606"/>
    </row>
    <row r="606" spans="1:21">
      <c r="A606" s="43"/>
      <c r="C606" s="43"/>
      <c r="D606" s="43"/>
      <c r="E606" s="43"/>
      <c r="F606" s="43"/>
      <c r="G606" s="43"/>
      <c r="H606" s="43"/>
      <c r="I606" s="43"/>
      <c r="J606" s="43"/>
      <c r="K606" s="43"/>
      <c r="L606" s="43"/>
      <c r="M606" s="43"/>
      <c r="N606" s="43"/>
      <c r="O606" s="43"/>
      <c r="Q606" s="43"/>
      <c r="U606" s="606"/>
    </row>
    <row r="607" spans="1:21">
      <c r="A607" s="43"/>
      <c r="C607" s="43"/>
      <c r="D607" s="43"/>
      <c r="E607" s="43"/>
      <c r="F607" s="43"/>
      <c r="G607" s="43"/>
      <c r="H607" s="43"/>
      <c r="I607" s="43"/>
      <c r="J607" s="43"/>
      <c r="K607" s="43"/>
      <c r="L607" s="43"/>
      <c r="M607" s="43"/>
      <c r="N607" s="43"/>
      <c r="O607" s="43"/>
      <c r="Q607" s="43"/>
      <c r="U607" s="606"/>
    </row>
    <row r="608" spans="1:21">
      <c r="A608" s="43"/>
      <c r="C608" s="43"/>
      <c r="D608" s="43"/>
      <c r="E608" s="43"/>
      <c r="F608" s="43"/>
      <c r="G608" s="43"/>
      <c r="H608" s="43"/>
      <c r="I608" s="43"/>
      <c r="J608" s="43"/>
      <c r="K608" s="43"/>
      <c r="L608" s="43"/>
      <c r="M608" s="43"/>
      <c r="N608" s="43"/>
      <c r="O608" s="43"/>
      <c r="Q608" s="43"/>
      <c r="U608" s="606"/>
    </row>
    <row r="609" spans="1:21">
      <c r="A609" s="43"/>
      <c r="C609" s="43"/>
      <c r="D609" s="43"/>
      <c r="E609" s="43"/>
      <c r="F609" s="43"/>
      <c r="G609" s="43"/>
      <c r="H609" s="43"/>
      <c r="I609" s="43"/>
      <c r="J609" s="43"/>
      <c r="K609" s="43"/>
      <c r="L609" s="43"/>
      <c r="M609" s="43"/>
      <c r="N609" s="43"/>
      <c r="O609" s="43"/>
      <c r="Q609" s="43"/>
      <c r="U609" s="606"/>
    </row>
    <row r="610" spans="1:21">
      <c r="A610" s="43"/>
      <c r="C610" s="43"/>
      <c r="D610" s="43"/>
      <c r="E610" s="43"/>
      <c r="F610" s="43"/>
      <c r="G610" s="43"/>
      <c r="H610" s="43"/>
      <c r="I610" s="43"/>
      <c r="J610" s="43"/>
      <c r="K610" s="43"/>
      <c r="L610" s="43"/>
      <c r="M610" s="43"/>
      <c r="N610" s="43"/>
      <c r="O610" s="43"/>
      <c r="Q610" s="43"/>
      <c r="U610" s="606"/>
    </row>
    <row r="611" spans="1:21">
      <c r="A611" s="43"/>
      <c r="C611" s="43"/>
      <c r="D611" s="43"/>
      <c r="E611" s="43"/>
      <c r="F611" s="43"/>
      <c r="G611" s="43"/>
      <c r="H611" s="43"/>
      <c r="I611" s="43"/>
      <c r="J611" s="43"/>
      <c r="K611" s="43"/>
      <c r="L611" s="43"/>
      <c r="M611" s="43"/>
      <c r="N611" s="43"/>
      <c r="O611" s="43"/>
      <c r="Q611" s="43"/>
      <c r="U611" s="606"/>
    </row>
    <row r="612" spans="1:21">
      <c r="A612" s="43"/>
      <c r="C612" s="43"/>
      <c r="D612" s="43"/>
      <c r="E612" s="43"/>
      <c r="F612" s="43"/>
      <c r="G612" s="43"/>
      <c r="H612" s="43"/>
      <c r="I612" s="43"/>
      <c r="J612" s="43"/>
      <c r="K612" s="43"/>
      <c r="L612" s="43"/>
      <c r="M612" s="43"/>
      <c r="N612" s="43"/>
      <c r="O612" s="43"/>
      <c r="Q612" s="43"/>
      <c r="U612" s="606"/>
    </row>
    <row r="613" spans="1:21">
      <c r="A613" s="43"/>
      <c r="C613" s="43"/>
      <c r="D613" s="43"/>
      <c r="E613" s="43"/>
      <c r="F613" s="43"/>
      <c r="G613" s="43"/>
      <c r="H613" s="43"/>
      <c r="I613" s="43"/>
      <c r="J613" s="43"/>
      <c r="K613" s="43"/>
      <c r="L613" s="43"/>
      <c r="M613" s="43"/>
      <c r="N613" s="43"/>
      <c r="O613" s="43"/>
      <c r="Q613" s="43"/>
      <c r="U613" s="606"/>
    </row>
    <row r="614" spans="1:21">
      <c r="A614" s="43"/>
      <c r="C614" s="43"/>
      <c r="D614" s="43"/>
      <c r="E614" s="43"/>
      <c r="F614" s="43"/>
      <c r="G614" s="43"/>
      <c r="H614" s="43"/>
      <c r="I614" s="43"/>
      <c r="J614" s="43"/>
      <c r="K614" s="43"/>
      <c r="L614" s="43"/>
      <c r="M614" s="43"/>
      <c r="N614" s="43"/>
      <c r="O614" s="43"/>
      <c r="Q614" s="43"/>
      <c r="U614" s="606"/>
    </row>
    <row r="615" spans="1:21">
      <c r="A615" s="43"/>
      <c r="C615" s="43"/>
      <c r="D615" s="43"/>
      <c r="E615" s="43"/>
      <c r="F615" s="43"/>
      <c r="G615" s="43"/>
      <c r="H615" s="43"/>
      <c r="I615" s="43"/>
      <c r="J615" s="43"/>
      <c r="K615" s="43"/>
      <c r="L615" s="43"/>
      <c r="M615" s="43"/>
      <c r="N615" s="43"/>
      <c r="O615" s="43"/>
      <c r="Q615" s="43"/>
      <c r="U615" s="606"/>
    </row>
    <row r="616" spans="1:21">
      <c r="A616" s="43"/>
      <c r="C616" s="43"/>
      <c r="D616" s="43"/>
      <c r="E616" s="43"/>
      <c r="F616" s="43"/>
      <c r="G616" s="43"/>
      <c r="H616" s="43"/>
      <c r="I616" s="43"/>
      <c r="J616" s="43"/>
      <c r="K616" s="43"/>
      <c r="L616" s="43"/>
      <c r="M616" s="43"/>
      <c r="N616" s="43"/>
      <c r="O616" s="43"/>
      <c r="Q616" s="43"/>
      <c r="U616" s="606"/>
    </row>
    <row r="617" spans="1:21">
      <c r="A617" s="43"/>
      <c r="C617" s="43"/>
      <c r="D617" s="43"/>
      <c r="E617" s="43"/>
      <c r="F617" s="43"/>
      <c r="G617" s="43"/>
      <c r="H617" s="43"/>
      <c r="I617" s="43"/>
      <c r="J617" s="43"/>
      <c r="K617" s="43"/>
      <c r="L617" s="43"/>
      <c r="M617" s="43"/>
      <c r="N617" s="43"/>
      <c r="O617" s="43"/>
      <c r="Q617" s="43"/>
      <c r="U617" s="606"/>
    </row>
    <row r="618" spans="1:21">
      <c r="A618" s="43"/>
      <c r="C618" s="43"/>
      <c r="D618" s="43"/>
      <c r="E618" s="43"/>
      <c r="F618" s="43"/>
      <c r="G618" s="43"/>
      <c r="H618" s="43"/>
      <c r="I618" s="43"/>
      <c r="J618" s="43"/>
      <c r="K618" s="43"/>
      <c r="L618" s="43"/>
      <c r="M618" s="43"/>
      <c r="N618" s="43"/>
      <c r="O618" s="43"/>
      <c r="Q618" s="43"/>
      <c r="U618" s="606"/>
    </row>
    <row r="619" spans="1:21">
      <c r="A619" s="43"/>
      <c r="C619" s="43"/>
      <c r="D619" s="43"/>
      <c r="E619" s="43"/>
      <c r="F619" s="43"/>
      <c r="G619" s="43"/>
      <c r="H619" s="43"/>
      <c r="I619" s="43"/>
      <c r="J619" s="43"/>
      <c r="K619" s="43"/>
      <c r="L619" s="43"/>
      <c r="M619" s="43"/>
      <c r="N619" s="43"/>
      <c r="O619" s="43"/>
      <c r="Q619" s="43"/>
      <c r="U619" s="606"/>
    </row>
    <row r="620" spans="1:21">
      <c r="A620" s="43"/>
      <c r="C620" s="43"/>
      <c r="D620" s="43"/>
      <c r="E620" s="43"/>
      <c r="F620" s="43"/>
      <c r="G620" s="43"/>
      <c r="H620" s="43"/>
      <c r="I620" s="43"/>
      <c r="J620" s="43"/>
      <c r="K620" s="43"/>
      <c r="L620" s="43"/>
      <c r="M620" s="43"/>
      <c r="N620" s="43"/>
      <c r="O620" s="43"/>
      <c r="Q620" s="43"/>
      <c r="U620" s="606"/>
    </row>
    <row r="621" spans="1:21">
      <c r="A621" s="43"/>
      <c r="C621" s="43"/>
      <c r="D621" s="43"/>
      <c r="E621" s="43"/>
      <c r="F621" s="43"/>
      <c r="G621" s="43"/>
      <c r="H621" s="43"/>
      <c r="I621" s="43"/>
      <c r="J621" s="43"/>
      <c r="K621" s="43"/>
      <c r="L621" s="43"/>
      <c r="M621" s="43"/>
      <c r="N621" s="43"/>
      <c r="O621" s="43"/>
      <c r="Q621" s="43"/>
      <c r="U621" s="606"/>
    </row>
    <row r="622" spans="1:21">
      <c r="A622" s="43"/>
      <c r="C622" s="43"/>
      <c r="D622" s="43"/>
      <c r="E622" s="43"/>
      <c r="F622" s="43"/>
      <c r="G622" s="43"/>
      <c r="H622" s="43"/>
      <c r="I622" s="43"/>
      <c r="J622" s="43"/>
      <c r="K622" s="43"/>
      <c r="L622" s="43"/>
      <c r="M622" s="43"/>
      <c r="N622" s="43"/>
      <c r="O622" s="43"/>
      <c r="Q622" s="43"/>
      <c r="U622" s="606"/>
    </row>
    <row r="623" spans="1:21">
      <c r="A623" s="43"/>
      <c r="C623" s="43"/>
      <c r="D623" s="43"/>
      <c r="E623" s="43"/>
      <c r="F623" s="43"/>
      <c r="G623" s="43"/>
      <c r="H623" s="43"/>
      <c r="I623" s="43"/>
      <c r="J623" s="43"/>
      <c r="K623" s="43"/>
      <c r="L623" s="43"/>
      <c r="M623" s="43"/>
      <c r="N623" s="43"/>
      <c r="O623" s="43"/>
      <c r="Q623" s="43"/>
      <c r="U623" s="606"/>
    </row>
    <row r="624" spans="1:21">
      <c r="A624" s="43"/>
      <c r="C624" s="43"/>
      <c r="D624" s="43"/>
      <c r="E624" s="43"/>
      <c r="F624" s="43"/>
      <c r="G624" s="43"/>
      <c r="H624" s="43"/>
      <c r="I624" s="43"/>
      <c r="J624" s="43"/>
      <c r="K624" s="43"/>
      <c r="L624" s="43"/>
      <c r="M624" s="43"/>
      <c r="N624" s="43"/>
      <c r="O624" s="43"/>
      <c r="Q624" s="43"/>
      <c r="U624" s="606"/>
    </row>
    <row r="625" spans="1:21">
      <c r="A625" s="43"/>
      <c r="C625" s="43"/>
      <c r="D625" s="43"/>
      <c r="E625" s="43"/>
      <c r="F625" s="43"/>
      <c r="G625" s="43"/>
      <c r="H625" s="43"/>
      <c r="I625" s="43"/>
      <c r="J625" s="43"/>
      <c r="K625" s="43"/>
      <c r="L625" s="43"/>
      <c r="M625" s="43"/>
      <c r="N625" s="43"/>
      <c r="O625" s="43"/>
      <c r="Q625" s="43"/>
      <c r="U625" s="606"/>
    </row>
    <row r="626" spans="1:21">
      <c r="A626" s="43"/>
      <c r="C626" s="43"/>
      <c r="D626" s="43"/>
      <c r="E626" s="43"/>
      <c r="F626" s="43"/>
      <c r="G626" s="43"/>
      <c r="H626" s="43"/>
      <c r="I626" s="43"/>
      <c r="J626" s="43"/>
      <c r="K626" s="43"/>
      <c r="L626" s="43"/>
      <c r="M626" s="43"/>
      <c r="N626" s="43"/>
      <c r="O626" s="43"/>
      <c r="Q626" s="43"/>
      <c r="U626" s="606"/>
    </row>
    <row r="627" spans="1:21">
      <c r="A627" s="43"/>
      <c r="C627" s="43"/>
      <c r="D627" s="43"/>
      <c r="E627" s="43"/>
      <c r="F627" s="43"/>
      <c r="G627" s="43"/>
      <c r="H627" s="43"/>
      <c r="I627" s="43"/>
      <c r="J627" s="43"/>
      <c r="K627" s="43"/>
      <c r="L627" s="43"/>
      <c r="M627" s="43"/>
      <c r="N627" s="43"/>
      <c r="O627" s="43"/>
      <c r="Q627" s="43"/>
      <c r="U627" s="606"/>
    </row>
    <row r="628" spans="1:21">
      <c r="A628" s="43"/>
      <c r="C628" s="43"/>
      <c r="D628" s="43"/>
      <c r="E628" s="43"/>
      <c r="F628" s="43"/>
      <c r="G628" s="43"/>
      <c r="H628" s="43"/>
      <c r="I628" s="43"/>
      <c r="J628" s="43"/>
      <c r="K628" s="43"/>
      <c r="L628" s="43"/>
      <c r="M628" s="43"/>
      <c r="N628" s="43"/>
      <c r="O628" s="43"/>
      <c r="Q628" s="43"/>
      <c r="U628" s="606"/>
    </row>
    <row r="629" spans="1:21">
      <c r="A629" s="43"/>
      <c r="C629" s="43"/>
      <c r="D629" s="43"/>
      <c r="E629" s="43"/>
      <c r="F629" s="43"/>
      <c r="G629" s="43"/>
      <c r="H629" s="43"/>
      <c r="I629" s="43"/>
      <c r="J629" s="43"/>
      <c r="K629" s="43"/>
      <c r="L629" s="43"/>
      <c r="M629" s="43"/>
      <c r="N629" s="43"/>
      <c r="O629" s="43"/>
      <c r="Q629" s="43"/>
      <c r="U629" s="606"/>
    </row>
    <row r="630" spans="1:21">
      <c r="A630" s="43"/>
      <c r="C630" s="43"/>
      <c r="D630" s="43"/>
      <c r="E630" s="43"/>
      <c r="F630" s="43"/>
      <c r="G630" s="43"/>
      <c r="H630" s="43"/>
      <c r="I630" s="43"/>
      <c r="J630" s="43"/>
      <c r="K630" s="43"/>
      <c r="L630" s="43"/>
      <c r="M630" s="43"/>
      <c r="N630" s="43"/>
      <c r="O630" s="43"/>
      <c r="Q630" s="43"/>
      <c r="U630" s="606"/>
    </row>
    <row r="631" spans="1:21">
      <c r="A631" s="43"/>
      <c r="C631" s="43"/>
      <c r="D631" s="43"/>
      <c r="E631" s="43"/>
      <c r="F631" s="43"/>
      <c r="G631" s="43"/>
      <c r="H631" s="43"/>
      <c r="I631" s="43"/>
      <c r="J631" s="43"/>
      <c r="K631" s="43"/>
      <c r="L631" s="43"/>
      <c r="M631" s="43"/>
      <c r="N631" s="43"/>
      <c r="O631" s="43"/>
      <c r="Q631" s="43"/>
      <c r="U631" s="606"/>
    </row>
    <row r="632" spans="1:21">
      <c r="A632" s="43"/>
      <c r="C632" s="43"/>
      <c r="D632" s="43"/>
      <c r="E632" s="43"/>
      <c r="F632" s="43"/>
      <c r="G632" s="43"/>
      <c r="H632" s="43"/>
      <c r="I632" s="43"/>
      <c r="J632" s="43"/>
      <c r="K632" s="43"/>
      <c r="L632" s="43"/>
      <c r="M632" s="43"/>
      <c r="N632" s="43"/>
      <c r="O632" s="43"/>
      <c r="Q632" s="43"/>
      <c r="U632" s="606"/>
    </row>
    <row r="633" spans="1:21">
      <c r="A633" s="43"/>
      <c r="C633" s="43"/>
      <c r="D633" s="43"/>
      <c r="E633" s="43"/>
      <c r="F633" s="43"/>
      <c r="G633" s="43"/>
      <c r="H633" s="43"/>
      <c r="I633" s="43"/>
      <c r="J633" s="43"/>
      <c r="K633" s="43"/>
      <c r="L633" s="43"/>
      <c r="M633" s="43"/>
      <c r="N633" s="43"/>
      <c r="O633" s="43"/>
      <c r="Q633" s="43"/>
      <c r="U633" s="606"/>
    </row>
    <row r="634" spans="1:21">
      <c r="A634" s="43"/>
      <c r="C634" s="43"/>
      <c r="D634" s="43"/>
      <c r="E634" s="43"/>
      <c r="F634" s="43"/>
      <c r="G634" s="43"/>
      <c r="H634" s="43"/>
      <c r="I634" s="43"/>
      <c r="J634" s="43"/>
      <c r="K634" s="43"/>
      <c r="L634" s="43"/>
      <c r="M634" s="43"/>
      <c r="N634" s="43"/>
      <c r="O634" s="43"/>
      <c r="Q634" s="43"/>
      <c r="U634" s="606"/>
    </row>
    <row r="635" spans="1:21">
      <c r="A635" s="43"/>
      <c r="C635" s="43"/>
      <c r="D635" s="43"/>
      <c r="E635" s="43"/>
      <c r="F635" s="43"/>
      <c r="G635" s="43"/>
      <c r="H635" s="43"/>
      <c r="I635" s="43"/>
      <c r="J635" s="43"/>
      <c r="K635" s="43"/>
      <c r="L635" s="43"/>
      <c r="M635" s="43"/>
      <c r="N635" s="43"/>
      <c r="O635" s="43"/>
      <c r="Q635" s="43"/>
      <c r="U635" s="606"/>
    </row>
    <row r="636" spans="1:21">
      <c r="A636" s="43"/>
      <c r="C636" s="43"/>
      <c r="D636" s="43"/>
      <c r="E636" s="43"/>
      <c r="F636" s="43"/>
      <c r="G636" s="43"/>
      <c r="H636" s="43"/>
      <c r="I636" s="43"/>
      <c r="J636" s="43"/>
      <c r="K636" s="43"/>
      <c r="L636" s="43"/>
      <c r="M636" s="43"/>
      <c r="N636" s="43"/>
      <c r="O636" s="43"/>
      <c r="Q636" s="43"/>
      <c r="U636" s="606"/>
    </row>
    <row r="637" spans="1:21">
      <c r="A637" s="43"/>
      <c r="C637" s="43"/>
      <c r="D637" s="43"/>
      <c r="E637" s="43"/>
      <c r="F637" s="43"/>
      <c r="G637" s="43"/>
      <c r="H637" s="43"/>
      <c r="I637" s="43"/>
      <c r="J637" s="43"/>
      <c r="K637" s="43"/>
      <c r="L637" s="43"/>
      <c r="M637" s="43"/>
      <c r="N637" s="43"/>
      <c r="O637" s="43"/>
      <c r="Q637" s="43"/>
      <c r="U637" s="606"/>
    </row>
    <row r="638" spans="1:21">
      <c r="A638" s="43"/>
      <c r="C638" s="43"/>
      <c r="D638" s="43"/>
      <c r="E638" s="43"/>
      <c r="F638" s="43"/>
      <c r="G638" s="43"/>
      <c r="H638" s="43"/>
      <c r="I638" s="43"/>
      <c r="J638" s="43"/>
      <c r="K638" s="43"/>
      <c r="L638" s="43"/>
      <c r="M638" s="43"/>
      <c r="N638" s="43"/>
      <c r="O638" s="43"/>
      <c r="Q638" s="43"/>
      <c r="U638" s="606"/>
    </row>
    <row r="639" spans="1:21">
      <c r="A639" s="43"/>
      <c r="C639" s="43"/>
      <c r="D639" s="43"/>
      <c r="E639" s="43"/>
      <c r="F639" s="43"/>
      <c r="G639" s="43"/>
      <c r="H639" s="43"/>
      <c r="I639" s="43"/>
      <c r="J639" s="43"/>
      <c r="K639" s="43"/>
      <c r="L639" s="43"/>
      <c r="M639" s="43"/>
      <c r="N639" s="43"/>
      <c r="O639" s="43"/>
      <c r="Q639" s="43"/>
      <c r="U639" s="606"/>
    </row>
    <row r="640" spans="1:21">
      <c r="A640" s="43"/>
      <c r="C640" s="43"/>
      <c r="D640" s="43"/>
      <c r="E640" s="43"/>
      <c r="F640" s="43"/>
      <c r="G640" s="43"/>
      <c r="H640" s="43"/>
      <c r="I640" s="43"/>
      <c r="J640" s="43"/>
      <c r="K640" s="43"/>
      <c r="L640" s="43"/>
      <c r="M640" s="43"/>
      <c r="N640" s="43"/>
      <c r="O640" s="43"/>
      <c r="Q640" s="43"/>
      <c r="U640" s="606"/>
    </row>
    <row r="641" spans="1:21">
      <c r="A641" s="43"/>
      <c r="C641" s="43"/>
      <c r="D641" s="43"/>
      <c r="E641" s="43"/>
      <c r="F641" s="43"/>
      <c r="G641" s="43"/>
      <c r="H641" s="43"/>
      <c r="I641" s="43"/>
      <c r="J641" s="43"/>
      <c r="K641" s="43"/>
      <c r="L641" s="43"/>
      <c r="M641" s="43"/>
      <c r="N641" s="43"/>
      <c r="O641" s="43"/>
      <c r="Q641" s="43"/>
      <c r="U641" s="606"/>
    </row>
    <row r="642" spans="1:21">
      <c r="A642" s="43"/>
      <c r="C642" s="43"/>
      <c r="D642" s="43"/>
      <c r="E642" s="43"/>
      <c r="F642" s="43"/>
      <c r="G642" s="43"/>
      <c r="H642" s="43"/>
      <c r="I642" s="43"/>
      <c r="J642" s="43"/>
      <c r="K642" s="43"/>
      <c r="L642" s="43"/>
      <c r="M642" s="43"/>
      <c r="N642" s="43"/>
      <c r="O642" s="43"/>
      <c r="Q642" s="43"/>
      <c r="U642" s="606"/>
    </row>
    <row r="643" spans="1:21">
      <c r="A643" s="43"/>
      <c r="C643" s="43"/>
      <c r="D643" s="43"/>
      <c r="E643" s="43"/>
      <c r="F643" s="43"/>
      <c r="G643" s="43"/>
      <c r="H643" s="43"/>
      <c r="I643" s="43"/>
      <c r="J643" s="43"/>
      <c r="K643" s="43"/>
      <c r="L643" s="43"/>
      <c r="M643" s="43"/>
      <c r="N643" s="43"/>
      <c r="O643" s="43"/>
      <c r="Q643" s="43"/>
      <c r="U643" s="606"/>
    </row>
    <row r="644" spans="1:21">
      <c r="A644" s="43"/>
      <c r="C644" s="43"/>
      <c r="D644" s="43"/>
      <c r="E644" s="43"/>
      <c r="F644" s="43"/>
      <c r="G644" s="43"/>
      <c r="H644" s="43"/>
      <c r="I644" s="43"/>
      <c r="J644" s="43"/>
      <c r="K644" s="43"/>
      <c r="L644" s="43"/>
      <c r="M644" s="43"/>
      <c r="N644" s="43"/>
      <c r="O644" s="43"/>
      <c r="Q644" s="43"/>
      <c r="U644" s="606"/>
    </row>
    <row r="645" spans="1:21">
      <c r="A645" s="43"/>
      <c r="C645" s="43"/>
      <c r="D645" s="43"/>
      <c r="E645" s="43"/>
      <c r="F645" s="43"/>
      <c r="G645" s="43"/>
      <c r="H645" s="43"/>
      <c r="I645" s="43"/>
      <c r="J645" s="43"/>
      <c r="K645" s="43"/>
      <c r="L645" s="43"/>
      <c r="M645" s="43"/>
      <c r="N645" s="43"/>
      <c r="O645" s="43"/>
      <c r="Q645" s="43"/>
      <c r="U645" s="606"/>
    </row>
    <row r="646" spans="1:21">
      <c r="A646" s="43"/>
      <c r="C646" s="43"/>
      <c r="D646" s="43"/>
      <c r="E646" s="43"/>
      <c r="F646" s="43"/>
      <c r="G646" s="43"/>
      <c r="H646" s="43"/>
      <c r="I646" s="43"/>
      <c r="J646" s="43"/>
      <c r="K646" s="43"/>
      <c r="L646" s="43"/>
      <c r="M646" s="43"/>
      <c r="N646" s="43"/>
      <c r="O646" s="43"/>
      <c r="Q646" s="43"/>
      <c r="U646" s="606"/>
    </row>
    <row r="647" spans="1:21">
      <c r="A647" s="43"/>
      <c r="C647" s="43"/>
      <c r="D647" s="43"/>
      <c r="E647" s="43"/>
      <c r="F647" s="43"/>
      <c r="G647" s="43"/>
      <c r="H647" s="43"/>
      <c r="I647" s="43"/>
      <c r="J647" s="43"/>
      <c r="K647" s="43"/>
      <c r="L647" s="43"/>
      <c r="M647" s="43"/>
      <c r="N647" s="43"/>
      <c r="O647" s="43"/>
      <c r="Q647" s="43"/>
      <c r="U647" s="606"/>
    </row>
    <row r="648" spans="1:21">
      <c r="A648" s="43"/>
      <c r="C648" s="43"/>
      <c r="D648" s="43"/>
      <c r="E648" s="43"/>
      <c r="F648" s="43"/>
      <c r="G648" s="43"/>
      <c r="H648" s="43"/>
      <c r="I648" s="43"/>
      <c r="J648" s="43"/>
      <c r="K648" s="43"/>
      <c r="L648" s="43"/>
      <c r="M648" s="43"/>
      <c r="N648" s="43"/>
      <c r="O648" s="43"/>
      <c r="Q648" s="43"/>
      <c r="U648" s="606"/>
    </row>
    <row r="649" spans="1:21">
      <c r="A649" s="43"/>
      <c r="C649" s="43"/>
      <c r="D649" s="43"/>
      <c r="E649" s="43"/>
      <c r="F649" s="43"/>
      <c r="G649" s="43"/>
      <c r="H649" s="43"/>
      <c r="I649" s="43"/>
      <c r="J649" s="43"/>
      <c r="K649" s="43"/>
      <c r="L649" s="43"/>
      <c r="M649" s="43"/>
      <c r="N649" s="43"/>
      <c r="O649" s="43"/>
      <c r="Q649" s="43"/>
      <c r="U649" s="606"/>
    </row>
    <row r="650" spans="1:21">
      <c r="A650" s="43"/>
      <c r="C650" s="43"/>
      <c r="D650" s="43"/>
      <c r="E650" s="43"/>
      <c r="F650" s="43"/>
      <c r="G650" s="43"/>
      <c r="H650" s="43"/>
      <c r="I650" s="43"/>
      <c r="J650" s="43"/>
      <c r="K650" s="43"/>
      <c r="L650" s="43"/>
      <c r="M650" s="43"/>
      <c r="N650" s="43"/>
      <c r="O650" s="43"/>
      <c r="Q650" s="43"/>
      <c r="U650" s="606"/>
    </row>
    <row r="651" spans="1:21">
      <c r="A651" s="43"/>
      <c r="C651" s="43"/>
      <c r="D651" s="43"/>
      <c r="E651" s="43"/>
      <c r="F651" s="43"/>
      <c r="G651" s="43"/>
      <c r="H651" s="43"/>
      <c r="I651" s="43"/>
      <c r="J651" s="43"/>
      <c r="K651" s="43"/>
      <c r="L651" s="43"/>
      <c r="M651" s="43"/>
      <c r="N651" s="43"/>
      <c r="O651" s="43"/>
      <c r="Q651" s="43"/>
      <c r="U651" s="606"/>
    </row>
    <row r="652" spans="1:21">
      <c r="A652" s="43"/>
      <c r="C652" s="43"/>
      <c r="D652" s="43"/>
      <c r="E652" s="43"/>
      <c r="F652" s="43"/>
      <c r="G652" s="43"/>
      <c r="H652" s="43"/>
      <c r="I652" s="43"/>
      <c r="J652" s="43"/>
      <c r="K652" s="43"/>
      <c r="L652" s="43"/>
      <c r="M652" s="43"/>
      <c r="N652" s="43"/>
      <c r="O652" s="43"/>
      <c r="Q652" s="43"/>
      <c r="U652" s="606"/>
    </row>
    <row r="653" spans="1:21">
      <c r="A653" s="43"/>
      <c r="C653" s="43"/>
      <c r="D653" s="43"/>
      <c r="E653" s="43"/>
      <c r="F653" s="43"/>
      <c r="G653" s="43"/>
      <c r="H653" s="43"/>
      <c r="I653" s="43"/>
      <c r="J653" s="43"/>
      <c r="K653" s="43"/>
      <c r="L653" s="43"/>
      <c r="M653" s="43"/>
      <c r="N653" s="43"/>
      <c r="O653" s="43"/>
      <c r="Q653" s="43"/>
      <c r="U653" s="606"/>
    </row>
    <row r="654" spans="1:21">
      <c r="A654" s="43"/>
      <c r="C654" s="43"/>
      <c r="D654" s="43"/>
      <c r="E654" s="43"/>
      <c r="F654" s="43"/>
      <c r="G654" s="43"/>
      <c r="H654" s="43"/>
      <c r="I654" s="43"/>
      <c r="J654" s="43"/>
      <c r="K654" s="43"/>
      <c r="L654" s="43"/>
      <c r="M654" s="43"/>
      <c r="N654" s="43"/>
      <c r="O654" s="43"/>
      <c r="Q654" s="43"/>
      <c r="U654" s="606"/>
    </row>
    <row r="655" spans="1:21">
      <c r="A655" s="43"/>
      <c r="C655" s="43"/>
      <c r="D655" s="43"/>
      <c r="E655" s="43"/>
      <c r="F655" s="43"/>
      <c r="G655" s="43"/>
      <c r="H655" s="43"/>
      <c r="I655" s="43"/>
      <c r="J655" s="43"/>
      <c r="K655" s="43"/>
      <c r="L655" s="43"/>
      <c r="M655" s="43"/>
      <c r="N655" s="43"/>
      <c r="O655" s="43"/>
      <c r="Q655" s="43"/>
      <c r="U655" s="606"/>
    </row>
    <row r="656" spans="1:21">
      <c r="A656" s="43"/>
      <c r="C656" s="43"/>
      <c r="D656" s="43"/>
      <c r="E656" s="43"/>
      <c r="F656" s="43"/>
      <c r="G656" s="43"/>
      <c r="H656" s="43"/>
      <c r="I656" s="43"/>
      <c r="J656" s="43"/>
      <c r="K656" s="43"/>
      <c r="L656" s="43"/>
      <c r="M656" s="43"/>
      <c r="N656" s="43"/>
      <c r="O656" s="43"/>
      <c r="Q656" s="43"/>
      <c r="U656" s="606"/>
    </row>
    <row r="657" spans="1:21">
      <c r="A657" s="43"/>
      <c r="C657" s="43"/>
      <c r="D657" s="43"/>
      <c r="E657" s="43"/>
      <c r="F657" s="43"/>
      <c r="G657" s="43"/>
      <c r="H657" s="43"/>
      <c r="I657" s="43"/>
      <c r="J657" s="43"/>
      <c r="K657" s="43"/>
      <c r="L657" s="43"/>
      <c r="M657" s="43"/>
      <c r="N657" s="43"/>
      <c r="O657" s="43"/>
      <c r="Q657" s="43"/>
      <c r="U657" s="606"/>
    </row>
    <row r="658" spans="1:21">
      <c r="A658" s="43"/>
      <c r="C658" s="43"/>
      <c r="D658" s="43"/>
      <c r="E658" s="43"/>
      <c r="F658" s="43"/>
      <c r="G658" s="43"/>
      <c r="H658" s="43"/>
      <c r="I658" s="43"/>
      <c r="J658" s="43"/>
      <c r="K658" s="43"/>
      <c r="L658" s="43"/>
      <c r="M658" s="43"/>
      <c r="N658" s="43"/>
      <c r="O658" s="43"/>
      <c r="Q658" s="43"/>
      <c r="U658" s="606"/>
    </row>
    <row r="659" spans="1:21">
      <c r="A659" s="43"/>
      <c r="C659" s="43"/>
      <c r="D659" s="43"/>
      <c r="E659" s="43"/>
      <c r="F659" s="43"/>
      <c r="G659" s="43"/>
      <c r="H659" s="43"/>
      <c r="I659" s="43"/>
      <c r="J659" s="43"/>
      <c r="K659" s="43"/>
      <c r="L659" s="43"/>
      <c r="M659" s="43"/>
      <c r="N659" s="43"/>
      <c r="O659" s="43"/>
      <c r="Q659" s="43"/>
      <c r="U659" s="606"/>
    </row>
    <row r="660" spans="1:21">
      <c r="A660" s="43"/>
      <c r="C660" s="43"/>
      <c r="D660" s="43"/>
      <c r="E660" s="43"/>
      <c r="F660" s="43"/>
      <c r="G660" s="43"/>
      <c r="H660" s="43"/>
      <c r="I660" s="43"/>
      <c r="J660" s="43"/>
      <c r="K660" s="43"/>
      <c r="L660" s="43"/>
      <c r="M660" s="43"/>
      <c r="N660" s="43"/>
      <c r="O660" s="43"/>
      <c r="Q660" s="43"/>
      <c r="U660" s="606"/>
    </row>
    <row r="661" spans="1:21">
      <c r="A661" s="43"/>
      <c r="C661" s="43"/>
      <c r="D661" s="43"/>
      <c r="E661" s="43"/>
      <c r="F661" s="43"/>
      <c r="G661" s="43"/>
      <c r="H661" s="43"/>
      <c r="I661" s="43"/>
      <c r="J661" s="43"/>
      <c r="K661" s="43"/>
      <c r="L661" s="43"/>
      <c r="M661" s="43"/>
      <c r="N661" s="43"/>
      <c r="O661" s="43"/>
      <c r="Q661" s="43"/>
      <c r="U661" s="606"/>
    </row>
    <row r="662" spans="1:21">
      <c r="A662" s="43"/>
      <c r="C662" s="43"/>
      <c r="D662" s="43"/>
      <c r="E662" s="43"/>
      <c r="F662" s="43"/>
      <c r="G662" s="43"/>
      <c r="H662" s="43"/>
      <c r="I662" s="43"/>
      <c r="J662" s="43"/>
      <c r="K662" s="43"/>
      <c r="L662" s="43"/>
      <c r="M662" s="43"/>
      <c r="N662" s="43"/>
      <c r="O662" s="43"/>
      <c r="Q662" s="43"/>
      <c r="U662" s="606"/>
    </row>
    <row r="663" spans="1:21">
      <c r="A663" s="43"/>
      <c r="C663" s="43"/>
      <c r="D663" s="43"/>
      <c r="E663" s="43"/>
      <c r="F663" s="43"/>
      <c r="G663" s="43"/>
      <c r="H663" s="43"/>
      <c r="I663" s="43"/>
      <c r="J663" s="43"/>
      <c r="K663" s="43"/>
      <c r="L663" s="43"/>
      <c r="M663" s="43"/>
      <c r="N663" s="43"/>
      <c r="O663" s="43"/>
      <c r="Q663" s="43"/>
      <c r="U663" s="606"/>
    </row>
    <row r="664" spans="1:21">
      <c r="A664" s="43"/>
      <c r="C664" s="43"/>
      <c r="D664" s="43"/>
      <c r="E664" s="43"/>
      <c r="F664" s="43"/>
      <c r="G664" s="43"/>
      <c r="H664" s="43"/>
      <c r="I664" s="43"/>
      <c r="J664" s="43"/>
      <c r="K664" s="43"/>
      <c r="L664" s="43"/>
      <c r="M664" s="43"/>
      <c r="N664" s="43"/>
      <c r="O664" s="43"/>
      <c r="Q664" s="43"/>
      <c r="U664" s="606"/>
    </row>
    <row r="665" spans="1:21">
      <c r="A665" s="43"/>
      <c r="C665" s="43"/>
      <c r="D665" s="43"/>
      <c r="E665" s="43"/>
      <c r="F665" s="43"/>
      <c r="G665" s="43"/>
      <c r="H665" s="43"/>
      <c r="I665" s="43"/>
      <c r="J665" s="43"/>
      <c r="K665" s="43"/>
      <c r="L665" s="43"/>
      <c r="M665" s="43"/>
      <c r="N665" s="43"/>
      <c r="O665" s="43"/>
      <c r="Q665" s="43"/>
      <c r="U665" s="606"/>
    </row>
    <row r="666" spans="1:21">
      <c r="A666" s="43"/>
      <c r="C666" s="43"/>
      <c r="D666" s="43"/>
      <c r="E666" s="43"/>
      <c r="F666" s="43"/>
      <c r="G666" s="43"/>
      <c r="H666" s="43"/>
      <c r="I666" s="43"/>
      <c r="J666" s="43"/>
      <c r="K666" s="43"/>
      <c r="L666" s="43"/>
      <c r="M666" s="43"/>
      <c r="N666" s="43"/>
      <c r="O666" s="43"/>
      <c r="Q666" s="43"/>
      <c r="U666" s="606"/>
    </row>
    <row r="667" spans="1:21">
      <c r="A667" s="43"/>
      <c r="C667" s="43"/>
      <c r="D667" s="43"/>
      <c r="E667" s="43"/>
      <c r="F667" s="43"/>
      <c r="G667" s="43"/>
      <c r="H667" s="43"/>
      <c r="I667" s="43"/>
      <c r="J667" s="43"/>
      <c r="K667" s="43"/>
      <c r="L667" s="43"/>
      <c r="M667" s="43"/>
      <c r="N667" s="43"/>
      <c r="O667" s="43"/>
      <c r="Q667" s="43"/>
      <c r="U667" s="606"/>
    </row>
    <row r="668" spans="1:21">
      <c r="A668" s="43"/>
      <c r="C668" s="43"/>
      <c r="D668" s="43"/>
      <c r="E668" s="43"/>
      <c r="F668" s="43"/>
      <c r="G668" s="43"/>
      <c r="H668" s="43"/>
      <c r="I668" s="43"/>
      <c r="J668" s="43"/>
      <c r="K668" s="43"/>
      <c r="L668" s="43"/>
      <c r="M668" s="43"/>
      <c r="N668" s="43"/>
      <c r="O668" s="43"/>
      <c r="Q668" s="43"/>
      <c r="U668" s="606"/>
    </row>
    <row r="669" spans="1:21">
      <c r="A669" s="43"/>
      <c r="C669" s="43"/>
      <c r="D669" s="43"/>
      <c r="E669" s="43"/>
      <c r="F669" s="43"/>
      <c r="G669" s="43"/>
      <c r="H669" s="43"/>
      <c r="I669" s="43"/>
      <c r="J669" s="43"/>
      <c r="K669" s="43"/>
      <c r="L669" s="43"/>
      <c r="M669" s="43"/>
      <c r="N669" s="43"/>
      <c r="O669" s="43"/>
      <c r="Q669" s="43"/>
      <c r="U669" s="606"/>
    </row>
    <row r="670" spans="1:21">
      <c r="A670" s="43"/>
      <c r="C670" s="43"/>
      <c r="D670" s="43"/>
      <c r="E670" s="43"/>
      <c r="F670" s="43"/>
      <c r="G670" s="43"/>
      <c r="H670" s="43"/>
      <c r="I670" s="43"/>
      <c r="J670" s="43"/>
      <c r="K670" s="43"/>
      <c r="L670" s="43"/>
      <c r="M670" s="43"/>
      <c r="N670" s="43"/>
      <c r="O670" s="43"/>
      <c r="Q670" s="43"/>
      <c r="U670" s="606"/>
    </row>
    <row r="671" spans="1:21">
      <c r="A671" s="43"/>
      <c r="C671" s="43"/>
      <c r="D671" s="43"/>
      <c r="E671" s="43"/>
      <c r="F671" s="43"/>
      <c r="G671" s="43"/>
      <c r="H671" s="43"/>
      <c r="I671" s="43"/>
      <c r="J671" s="43"/>
      <c r="K671" s="43"/>
      <c r="L671" s="43"/>
      <c r="M671" s="43"/>
      <c r="N671" s="43"/>
      <c r="O671" s="43"/>
      <c r="Q671" s="43"/>
      <c r="U671" s="606"/>
    </row>
    <row r="672" spans="1:21">
      <c r="A672" s="43"/>
      <c r="C672" s="43"/>
      <c r="D672" s="43"/>
      <c r="E672" s="43"/>
      <c r="F672" s="43"/>
      <c r="G672" s="43"/>
      <c r="H672" s="43"/>
      <c r="I672" s="43"/>
      <c r="J672" s="43"/>
      <c r="K672" s="43"/>
      <c r="L672" s="43"/>
      <c r="M672" s="43"/>
      <c r="N672" s="43"/>
      <c r="O672" s="43"/>
      <c r="Q672" s="43"/>
      <c r="U672" s="606"/>
    </row>
    <row r="673" spans="1:21">
      <c r="A673" s="43"/>
      <c r="C673" s="43"/>
      <c r="D673" s="43"/>
      <c r="E673" s="43"/>
      <c r="F673" s="43"/>
      <c r="G673" s="43"/>
      <c r="H673" s="43"/>
      <c r="I673" s="43"/>
      <c r="J673" s="43"/>
      <c r="K673" s="43"/>
      <c r="L673" s="43"/>
      <c r="M673" s="43"/>
      <c r="N673" s="43"/>
      <c r="O673" s="43"/>
      <c r="Q673" s="43"/>
      <c r="U673" s="606"/>
    </row>
    <row r="674" spans="1:21">
      <c r="A674" s="43"/>
      <c r="C674" s="43"/>
      <c r="D674" s="43"/>
      <c r="E674" s="43"/>
      <c r="F674" s="43"/>
      <c r="G674" s="43"/>
      <c r="H674" s="43"/>
      <c r="I674" s="43"/>
      <c r="J674" s="43"/>
      <c r="K674" s="43"/>
      <c r="L674" s="43"/>
      <c r="M674" s="43"/>
      <c r="N674" s="43"/>
      <c r="O674" s="43"/>
      <c r="Q674" s="43"/>
      <c r="U674" s="606"/>
    </row>
    <row r="675" spans="1:21">
      <c r="A675" s="43"/>
      <c r="C675" s="43"/>
      <c r="D675" s="43"/>
      <c r="E675" s="43"/>
      <c r="F675" s="43"/>
      <c r="G675" s="43"/>
      <c r="H675" s="43"/>
      <c r="I675" s="43"/>
      <c r="J675" s="43"/>
      <c r="K675" s="43"/>
      <c r="L675" s="43"/>
      <c r="M675" s="43"/>
      <c r="N675" s="43"/>
      <c r="O675" s="43"/>
      <c r="Q675" s="43"/>
      <c r="U675" s="606"/>
    </row>
    <row r="676" spans="1:21">
      <c r="A676" s="43"/>
      <c r="C676" s="43"/>
      <c r="D676" s="43"/>
      <c r="E676" s="43"/>
      <c r="F676" s="43"/>
      <c r="G676" s="43"/>
      <c r="H676" s="43"/>
      <c r="I676" s="43"/>
      <c r="J676" s="43"/>
      <c r="K676" s="43"/>
      <c r="L676" s="43"/>
      <c r="M676" s="43"/>
      <c r="N676" s="43"/>
      <c r="O676" s="43"/>
      <c r="Q676" s="43"/>
      <c r="U676" s="606"/>
    </row>
    <row r="677" spans="1:21">
      <c r="A677" s="43"/>
      <c r="C677" s="43"/>
      <c r="D677" s="43"/>
      <c r="E677" s="43"/>
      <c r="F677" s="43"/>
      <c r="G677" s="43"/>
      <c r="H677" s="43"/>
      <c r="I677" s="43"/>
      <c r="J677" s="43"/>
      <c r="K677" s="43"/>
      <c r="L677" s="43"/>
      <c r="M677" s="43"/>
      <c r="N677" s="43"/>
      <c r="O677" s="43"/>
      <c r="Q677" s="43"/>
      <c r="U677" s="606"/>
    </row>
    <row r="678" spans="1:21">
      <c r="A678" s="43"/>
      <c r="C678" s="43"/>
      <c r="D678" s="43"/>
      <c r="E678" s="43"/>
      <c r="F678" s="43"/>
      <c r="G678" s="43"/>
      <c r="H678" s="43"/>
      <c r="I678" s="43"/>
      <c r="J678" s="43"/>
      <c r="K678" s="43"/>
      <c r="L678" s="43"/>
      <c r="M678" s="43"/>
      <c r="N678" s="43"/>
      <c r="O678" s="43"/>
      <c r="Q678" s="43"/>
      <c r="U678" s="606"/>
    </row>
    <row r="679" spans="1:21">
      <c r="A679" s="43"/>
      <c r="C679" s="43"/>
      <c r="D679" s="43"/>
      <c r="E679" s="43"/>
      <c r="F679" s="43"/>
      <c r="G679" s="43"/>
      <c r="H679" s="43"/>
      <c r="I679" s="43"/>
      <c r="J679" s="43"/>
      <c r="K679" s="43"/>
      <c r="L679" s="43"/>
      <c r="M679" s="43"/>
      <c r="N679" s="43"/>
      <c r="O679" s="43"/>
      <c r="Q679" s="43"/>
      <c r="U679" s="606"/>
    </row>
    <row r="680" spans="1:21">
      <c r="A680" s="43"/>
      <c r="C680" s="43"/>
      <c r="D680" s="43"/>
      <c r="E680" s="43"/>
      <c r="F680" s="43"/>
      <c r="G680" s="43"/>
      <c r="H680" s="43"/>
      <c r="I680" s="43"/>
      <c r="J680" s="43"/>
      <c r="K680" s="43"/>
      <c r="L680" s="43"/>
      <c r="M680" s="43"/>
      <c r="N680" s="43"/>
      <c r="O680" s="43"/>
      <c r="Q680" s="43"/>
      <c r="U680" s="606"/>
    </row>
    <row r="681" spans="1:21">
      <c r="A681" s="43"/>
      <c r="C681" s="43"/>
      <c r="D681" s="43"/>
      <c r="E681" s="43"/>
      <c r="F681" s="43"/>
      <c r="G681" s="43"/>
      <c r="H681" s="43"/>
      <c r="I681" s="43"/>
      <c r="J681" s="43"/>
      <c r="K681" s="43"/>
      <c r="L681" s="43"/>
      <c r="M681" s="43"/>
      <c r="N681" s="43"/>
      <c r="O681" s="43"/>
      <c r="Q681" s="43"/>
      <c r="U681" s="606"/>
    </row>
    <row r="682" spans="1:21">
      <c r="A682" s="43"/>
      <c r="C682" s="43"/>
      <c r="D682" s="43"/>
      <c r="E682" s="43"/>
      <c r="F682" s="43"/>
      <c r="G682" s="43"/>
      <c r="H682" s="43"/>
      <c r="I682" s="43"/>
      <c r="J682" s="43"/>
      <c r="K682" s="43"/>
      <c r="L682" s="43"/>
      <c r="M682" s="43"/>
      <c r="N682" s="43"/>
      <c r="O682" s="43"/>
      <c r="Q682" s="43"/>
      <c r="U682" s="606"/>
    </row>
    <row r="683" spans="1:21">
      <c r="A683" s="43"/>
      <c r="C683" s="43"/>
      <c r="D683" s="43"/>
      <c r="E683" s="43"/>
      <c r="F683" s="43"/>
      <c r="G683" s="43"/>
      <c r="H683" s="43"/>
      <c r="I683" s="43"/>
      <c r="J683" s="43"/>
      <c r="K683" s="43"/>
      <c r="L683" s="43"/>
      <c r="M683" s="43"/>
      <c r="N683" s="43"/>
      <c r="O683" s="43"/>
      <c r="Q683" s="43"/>
      <c r="U683" s="606"/>
    </row>
    <row r="684" spans="1:21">
      <c r="A684" s="43"/>
      <c r="C684" s="43"/>
      <c r="D684" s="43"/>
      <c r="E684" s="43"/>
      <c r="F684" s="43"/>
      <c r="G684" s="43"/>
      <c r="H684" s="43"/>
      <c r="I684" s="43"/>
      <c r="J684" s="43"/>
      <c r="K684" s="43"/>
      <c r="L684" s="43"/>
      <c r="M684" s="43"/>
      <c r="N684" s="43"/>
      <c r="O684" s="43"/>
      <c r="Q684" s="43"/>
      <c r="U684" s="606"/>
    </row>
    <row r="685" spans="1:21">
      <c r="A685" s="43"/>
      <c r="C685" s="43"/>
      <c r="D685" s="43"/>
      <c r="E685" s="43"/>
      <c r="F685" s="43"/>
      <c r="G685" s="43"/>
      <c r="H685" s="43"/>
      <c r="I685" s="43"/>
      <c r="J685" s="43"/>
      <c r="K685" s="43"/>
      <c r="L685" s="43"/>
      <c r="M685" s="43"/>
      <c r="N685" s="43"/>
      <c r="O685" s="43"/>
      <c r="Q685" s="43"/>
      <c r="U685" s="606"/>
    </row>
    <row r="686" spans="1:21">
      <c r="A686" s="43"/>
      <c r="C686" s="43"/>
      <c r="D686" s="43"/>
      <c r="E686" s="43"/>
      <c r="F686" s="43"/>
      <c r="G686" s="43"/>
      <c r="H686" s="43"/>
      <c r="I686" s="43"/>
      <c r="J686" s="43"/>
      <c r="K686" s="43"/>
      <c r="L686" s="43"/>
      <c r="M686" s="43"/>
      <c r="N686" s="43"/>
      <c r="O686" s="43"/>
      <c r="Q686" s="43"/>
      <c r="U686" s="606"/>
    </row>
    <row r="687" spans="1:21">
      <c r="A687" s="43"/>
      <c r="C687" s="43"/>
      <c r="D687" s="43"/>
      <c r="E687" s="43"/>
      <c r="F687" s="43"/>
      <c r="G687" s="43"/>
      <c r="H687" s="43"/>
      <c r="I687" s="43"/>
      <c r="J687" s="43"/>
      <c r="K687" s="43"/>
      <c r="L687" s="43"/>
      <c r="M687" s="43"/>
      <c r="N687" s="43"/>
      <c r="O687" s="43"/>
      <c r="Q687" s="43"/>
      <c r="U687" s="606"/>
    </row>
    <row r="688" spans="1:21">
      <c r="A688" s="43"/>
      <c r="C688" s="43"/>
      <c r="D688" s="43"/>
      <c r="E688" s="43"/>
      <c r="F688" s="43"/>
      <c r="G688" s="43"/>
      <c r="H688" s="43"/>
      <c r="I688" s="43"/>
      <c r="J688" s="43"/>
      <c r="K688" s="43"/>
      <c r="L688" s="43"/>
      <c r="M688" s="43"/>
      <c r="N688" s="43"/>
      <c r="O688" s="43"/>
      <c r="Q688" s="43"/>
      <c r="U688" s="606"/>
    </row>
    <row r="689" spans="1:21">
      <c r="A689" s="43"/>
      <c r="C689" s="43"/>
      <c r="D689" s="43"/>
      <c r="E689" s="43"/>
      <c r="F689" s="43"/>
      <c r="G689" s="43"/>
      <c r="H689" s="43"/>
      <c r="I689" s="43"/>
      <c r="J689" s="43"/>
      <c r="K689" s="43"/>
      <c r="L689" s="43"/>
      <c r="M689" s="43"/>
      <c r="N689" s="43"/>
      <c r="O689" s="43"/>
      <c r="Q689" s="43"/>
      <c r="U689" s="606"/>
    </row>
    <row r="690" spans="1:21">
      <c r="A690" s="43"/>
      <c r="C690" s="43"/>
      <c r="D690" s="43"/>
      <c r="E690" s="43"/>
      <c r="F690" s="43"/>
      <c r="G690" s="43"/>
      <c r="H690" s="43"/>
      <c r="I690" s="43"/>
      <c r="J690" s="43"/>
      <c r="K690" s="43"/>
      <c r="L690" s="43"/>
      <c r="M690" s="43"/>
      <c r="N690" s="43"/>
      <c r="O690" s="43"/>
      <c r="Q690" s="43"/>
      <c r="U690" s="606"/>
    </row>
    <row r="691" spans="1:21">
      <c r="A691" s="43"/>
      <c r="C691" s="43"/>
      <c r="D691" s="43"/>
      <c r="E691" s="43"/>
      <c r="F691" s="43"/>
      <c r="G691" s="43"/>
      <c r="H691" s="43"/>
      <c r="I691" s="43"/>
      <c r="J691" s="43"/>
      <c r="K691" s="43"/>
      <c r="L691" s="43"/>
      <c r="M691" s="43"/>
      <c r="N691" s="43"/>
      <c r="O691" s="43"/>
      <c r="Q691" s="43"/>
      <c r="U691" s="606"/>
    </row>
    <row r="692" spans="1:21">
      <c r="A692" s="43"/>
      <c r="C692" s="43"/>
      <c r="D692" s="43"/>
      <c r="E692" s="43"/>
      <c r="F692" s="43"/>
      <c r="G692" s="43"/>
      <c r="H692" s="43"/>
      <c r="I692" s="43"/>
      <c r="J692" s="43"/>
      <c r="K692" s="43"/>
      <c r="L692" s="43"/>
      <c r="M692" s="43"/>
      <c r="N692" s="43"/>
      <c r="O692" s="43"/>
      <c r="Q692" s="43"/>
      <c r="U692" s="606"/>
    </row>
    <row r="693" spans="1:21">
      <c r="A693" s="43"/>
      <c r="C693" s="43"/>
      <c r="D693" s="43"/>
      <c r="E693" s="43"/>
      <c r="F693" s="43"/>
      <c r="G693" s="43"/>
      <c r="H693" s="43"/>
      <c r="I693" s="43"/>
      <c r="J693" s="43"/>
      <c r="K693" s="43"/>
      <c r="L693" s="43"/>
      <c r="M693" s="43"/>
      <c r="N693" s="43"/>
      <c r="O693" s="43"/>
      <c r="Q693" s="43"/>
      <c r="U693" s="606"/>
    </row>
    <row r="694" spans="1:21">
      <c r="A694" s="43"/>
      <c r="C694" s="43"/>
      <c r="D694" s="43"/>
      <c r="E694" s="43"/>
      <c r="F694" s="43"/>
      <c r="G694" s="43"/>
      <c r="H694" s="43"/>
      <c r="I694" s="43"/>
      <c r="J694" s="43"/>
      <c r="K694" s="43"/>
      <c r="L694" s="43"/>
      <c r="M694" s="43"/>
      <c r="N694" s="43"/>
      <c r="O694" s="43"/>
      <c r="Q694" s="43"/>
      <c r="U694" s="606"/>
    </row>
    <row r="695" spans="1:21">
      <c r="A695" s="43"/>
      <c r="C695" s="43"/>
      <c r="D695" s="43"/>
      <c r="E695" s="43"/>
      <c r="F695" s="43"/>
      <c r="G695" s="43"/>
      <c r="H695" s="43"/>
      <c r="I695" s="43"/>
      <c r="J695" s="43"/>
      <c r="K695" s="43"/>
      <c r="L695" s="43"/>
      <c r="M695" s="43"/>
      <c r="N695" s="43"/>
      <c r="O695" s="43"/>
      <c r="Q695" s="43"/>
      <c r="U695" s="606"/>
    </row>
    <row r="696" spans="1:21">
      <c r="A696" s="43"/>
      <c r="C696" s="43"/>
      <c r="D696" s="43"/>
      <c r="E696" s="43"/>
      <c r="F696" s="43"/>
      <c r="G696" s="43"/>
      <c r="H696" s="43"/>
      <c r="I696" s="43"/>
      <c r="J696" s="43"/>
      <c r="K696" s="43"/>
      <c r="L696" s="43"/>
      <c r="M696" s="43"/>
      <c r="N696" s="43"/>
      <c r="O696" s="43"/>
      <c r="Q696" s="43"/>
      <c r="U696" s="606"/>
    </row>
    <row r="697" spans="1:21">
      <c r="A697" s="43"/>
      <c r="C697" s="43"/>
      <c r="D697" s="43"/>
      <c r="E697" s="43"/>
      <c r="F697" s="43"/>
      <c r="G697" s="43"/>
      <c r="H697" s="43"/>
      <c r="I697" s="43"/>
      <c r="J697" s="43"/>
      <c r="K697" s="43"/>
      <c r="L697" s="43"/>
      <c r="M697" s="43"/>
      <c r="N697" s="43"/>
      <c r="O697" s="43"/>
      <c r="Q697" s="43"/>
      <c r="U697" s="606"/>
    </row>
    <row r="698" spans="1:21">
      <c r="A698" s="43"/>
      <c r="C698" s="43"/>
      <c r="D698" s="43"/>
      <c r="E698" s="43"/>
      <c r="F698" s="43"/>
      <c r="G698" s="43"/>
      <c r="H698" s="43"/>
      <c r="I698" s="43"/>
      <c r="J698" s="43"/>
      <c r="K698" s="43"/>
      <c r="L698" s="43"/>
      <c r="M698" s="43"/>
      <c r="N698" s="43"/>
      <c r="O698" s="43"/>
      <c r="Q698" s="43"/>
      <c r="U698" s="606"/>
    </row>
    <row r="699" spans="1:21">
      <c r="A699" s="43"/>
      <c r="C699" s="43"/>
      <c r="D699" s="43"/>
      <c r="E699" s="43"/>
      <c r="F699" s="43"/>
      <c r="G699" s="43"/>
      <c r="H699" s="43"/>
      <c r="I699" s="43"/>
      <c r="J699" s="43"/>
      <c r="K699" s="43"/>
      <c r="L699" s="43"/>
      <c r="M699" s="43"/>
      <c r="N699" s="43"/>
      <c r="O699" s="43"/>
      <c r="Q699" s="43"/>
      <c r="U699" s="606"/>
    </row>
    <row r="700" spans="1:21">
      <c r="A700" s="43"/>
      <c r="C700" s="43"/>
      <c r="D700" s="43"/>
      <c r="E700" s="43"/>
      <c r="F700" s="43"/>
      <c r="G700" s="43"/>
      <c r="H700" s="43"/>
      <c r="I700" s="43"/>
      <c r="J700" s="43"/>
      <c r="K700" s="43"/>
      <c r="L700" s="43"/>
      <c r="M700" s="43"/>
      <c r="N700" s="43"/>
      <c r="O700" s="43"/>
      <c r="Q700" s="43"/>
      <c r="U700" s="606"/>
    </row>
    <row r="701" spans="1:21">
      <c r="A701" s="43"/>
      <c r="C701" s="43"/>
      <c r="D701" s="43"/>
      <c r="E701" s="43"/>
      <c r="F701" s="43"/>
      <c r="G701" s="43"/>
      <c r="H701" s="43"/>
      <c r="I701" s="43"/>
      <c r="J701" s="43"/>
      <c r="K701" s="43"/>
      <c r="L701" s="43"/>
      <c r="M701" s="43"/>
      <c r="N701" s="43"/>
      <c r="O701" s="43"/>
      <c r="Q701" s="43"/>
      <c r="U701" s="606"/>
    </row>
    <row r="702" spans="1:21">
      <c r="A702" s="43"/>
      <c r="C702" s="43"/>
      <c r="D702" s="43"/>
      <c r="E702" s="43"/>
      <c r="F702" s="43"/>
      <c r="G702" s="43"/>
      <c r="H702" s="43"/>
      <c r="I702" s="43"/>
      <c r="J702" s="43"/>
      <c r="K702" s="43"/>
      <c r="L702" s="43"/>
      <c r="M702" s="43"/>
      <c r="N702" s="43"/>
      <c r="O702" s="43"/>
      <c r="Q702" s="43"/>
      <c r="U702" s="606"/>
    </row>
    <row r="703" spans="1:21">
      <c r="A703" s="43"/>
      <c r="C703" s="43"/>
      <c r="D703" s="43"/>
      <c r="E703" s="43"/>
      <c r="F703" s="43"/>
      <c r="G703" s="43"/>
      <c r="H703" s="43"/>
      <c r="I703" s="43"/>
      <c r="J703" s="43"/>
      <c r="K703" s="43"/>
      <c r="L703" s="43"/>
      <c r="M703" s="43"/>
      <c r="N703" s="43"/>
      <c r="O703" s="43"/>
      <c r="Q703" s="43"/>
      <c r="U703" s="606"/>
    </row>
    <row r="704" spans="1:21">
      <c r="A704" s="43"/>
      <c r="C704" s="43"/>
      <c r="D704" s="43"/>
      <c r="E704" s="43"/>
      <c r="F704" s="43"/>
      <c r="G704" s="43"/>
      <c r="H704" s="43"/>
      <c r="I704" s="43"/>
      <c r="J704" s="43"/>
      <c r="K704" s="43"/>
      <c r="L704" s="43"/>
      <c r="M704" s="43"/>
      <c r="N704" s="43"/>
      <c r="O704" s="43"/>
      <c r="Q704" s="43"/>
      <c r="U704" s="606"/>
    </row>
    <row r="705" spans="1:21">
      <c r="A705" s="43"/>
      <c r="C705" s="43"/>
      <c r="D705" s="43"/>
      <c r="E705" s="43"/>
      <c r="F705" s="43"/>
      <c r="G705" s="43"/>
      <c r="H705" s="43"/>
      <c r="I705" s="43"/>
      <c r="J705" s="43"/>
      <c r="K705" s="43"/>
      <c r="L705" s="43"/>
      <c r="M705" s="43"/>
      <c r="N705" s="43"/>
      <c r="O705" s="43"/>
      <c r="Q705" s="43"/>
      <c r="U705" s="606"/>
    </row>
    <row r="706" spans="1:21">
      <c r="A706" s="43"/>
      <c r="C706" s="43"/>
      <c r="D706" s="43"/>
      <c r="E706" s="43"/>
      <c r="F706" s="43"/>
      <c r="G706" s="43"/>
      <c r="H706" s="43"/>
      <c r="I706" s="43"/>
      <c r="J706" s="43"/>
      <c r="K706" s="43"/>
      <c r="L706" s="43"/>
      <c r="M706" s="43"/>
      <c r="N706" s="43"/>
      <c r="O706" s="43"/>
      <c r="Q706" s="43"/>
      <c r="U706" s="606"/>
    </row>
    <row r="707" spans="1:21">
      <c r="A707" s="43"/>
      <c r="C707" s="43"/>
      <c r="D707" s="43"/>
      <c r="E707" s="43"/>
      <c r="F707" s="43"/>
      <c r="G707" s="43"/>
      <c r="H707" s="43"/>
      <c r="I707" s="43"/>
      <c r="J707" s="43"/>
      <c r="K707" s="43"/>
      <c r="L707" s="43"/>
      <c r="M707" s="43"/>
      <c r="N707" s="43"/>
      <c r="O707" s="43"/>
      <c r="Q707" s="43"/>
      <c r="U707" s="606"/>
    </row>
    <row r="708" spans="1:21">
      <c r="A708" s="43"/>
      <c r="C708" s="43"/>
      <c r="D708" s="43"/>
      <c r="E708" s="43"/>
      <c r="F708" s="43"/>
      <c r="G708" s="43"/>
      <c r="H708" s="43"/>
      <c r="I708" s="43"/>
      <c r="J708" s="43"/>
      <c r="K708" s="43"/>
      <c r="L708" s="43"/>
      <c r="M708" s="43"/>
      <c r="N708" s="43"/>
      <c r="O708" s="43"/>
      <c r="Q708" s="43"/>
      <c r="U708" s="606"/>
    </row>
    <row r="709" spans="1:21">
      <c r="A709" s="43"/>
      <c r="C709" s="43"/>
      <c r="D709" s="43"/>
      <c r="E709" s="43"/>
      <c r="F709" s="43"/>
      <c r="G709" s="43"/>
      <c r="H709" s="43"/>
      <c r="I709" s="43"/>
      <c r="J709" s="43"/>
      <c r="K709" s="43"/>
      <c r="L709" s="43"/>
      <c r="M709" s="43"/>
      <c r="N709" s="43"/>
      <c r="O709" s="43"/>
      <c r="Q709" s="43"/>
      <c r="U709" s="606"/>
    </row>
    <row r="710" spans="1:21">
      <c r="A710" s="43"/>
      <c r="C710" s="43"/>
      <c r="D710" s="43"/>
      <c r="E710" s="43"/>
      <c r="F710" s="43"/>
      <c r="G710" s="43"/>
      <c r="H710" s="43"/>
      <c r="I710" s="43"/>
      <c r="J710" s="43"/>
      <c r="K710" s="43"/>
      <c r="L710" s="43"/>
      <c r="M710" s="43"/>
      <c r="N710" s="43"/>
      <c r="O710" s="43"/>
      <c r="Q710" s="43"/>
      <c r="U710" s="606"/>
    </row>
    <row r="711" spans="1:21">
      <c r="A711" s="43"/>
      <c r="C711" s="43"/>
      <c r="D711" s="43"/>
      <c r="E711" s="43"/>
      <c r="F711" s="43"/>
      <c r="G711" s="43"/>
      <c r="H711" s="43"/>
      <c r="I711" s="43"/>
      <c r="J711" s="43"/>
      <c r="K711" s="43"/>
      <c r="L711" s="43"/>
      <c r="M711" s="43"/>
      <c r="N711" s="43"/>
      <c r="O711" s="43"/>
      <c r="Q711" s="43"/>
      <c r="U711" s="606"/>
    </row>
    <row r="712" spans="1:21">
      <c r="A712" s="43"/>
      <c r="C712" s="43"/>
      <c r="D712" s="43"/>
      <c r="E712" s="43"/>
      <c r="F712" s="43"/>
      <c r="G712" s="43"/>
      <c r="H712" s="43"/>
      <c r="I712" s="43"/>
      <c r="J712" s="43"/>
      <c r="K712" s="43"/>
      <c r="L712" s="43"/>
      <c r="M712" s="43"/>
      <c r="N712" s="43"/>
      <c r="O712" s="43"/>
      <c r="Q712" s="43"/>
      <c r="U712" s="606"/>
    </row>
    <row r="713" spans="1:21">
      <c r="A713" s="43"/>
      <c r="C713" s="43"/>
      <c r="D713" s="43"/>
      <c r="E713" s="43"/>
      <c r="F713" s="43"/>
      <c r="G713" s="43"/>
      <c r="H713" s="43"/>
      <c r="I713" s="43"/>
      <c r="J713" s="43"/>
      <c r="K713" s="43"/>
      <c r="L713" s="43"/>
      <c r="M713" s="43"/>
      <c r="N713" s="43"/>
      <c r="O713" s="43"/>
      <c r="Q713" s="43"/>
      <c r="U713" s="606"/>
    </row>
    <row r="714" spans="1:21">
      <c r="A714" s="43"/>
      <c r="C714" s="43"/>
      <c r="D714" s="43"/>
      <c r="E714" s="43"/>
      <c r="F714" s="43"/>
      <c r="G714" s="43"/>
      <c r="H714" s="43"/>
      <c r="I714" s="43"/>
      <c r="J714" s="43"/>
      <c r="K714" s="43"/>
      <c r="L714" s="43"/>
      <c r="M714" s="43"/>
      <c r="N714" s="43"/>
      <c r="O714" s="43"/>
      <c r="Q714" s="43"/>
      <c r="U714" s="606"/>
    </row>
    <row r="715" spans="1:21">
      <c r="A715" s="43"/>
      <c r="C715" s="43"/>
      <c r="D715" s="43"/>
      <c r="E715" s="43"/>
      <c r="F715" s="43"/>
      <c r="G715" s="43"/>
      <c r="H715" s="43"/>
      <c r="I715" s="43"/>
      <c r="J715" s="43"/>
      <c r="K715" s="43"/>
      <c r="L715" s="43"/>
      <c r="M715" s="43"/>
      <c r="N715" s="43"/>
      <c r="O715" s="43"/>
      <c r="Q715" s="43"/>
      <c r="U715" s="606"/>
    </row>
    <row r="716" spans="1:21">
      <c r="A716" s="43"/>
      <c r="C716" s="43"/>
      <c r="D716" s="43"/>
      <c r="E716" s="43"/>
      <c r="F716" s="43"/>
      <c r="G716" s="43"/>
      <c r="H716" s="43"/>
      <c r="I716" s="43"/>
      <c r="J716" s="43"/>
      <c r="K716" s="43"/>
      <c r="L716" s="43"/>
      <c r="M716" s="43"/>
      <c r="N716" s="43"/>
      <c r="O716" s="43"/>
      <c r="Q716" s="43"/>
      <c r="U716" s="606"/>
    </row>
    <row r="717" spans="1:21">
      <c r="A717" s="43"/>
      <c r="C717" s="43"/>
      <c r="D717" s="43"/>
      <c r="E717" s="43"/>
      <c r="F717" s="43"/>
      <c r="G717" s="43"/>
      <c r="H717" s="43"/>
      <c r="I717" s="43"/>
      <c r="J717" s="43"/>
      <c r="K717" s="43"/>
      <c r="L717" s="43"/>
      <c r="M717" s="43"/>
      <c r="N717" s="43"/>
      <c r="O717" s="43"/>
      <c r="Q717" s="43"/>
      <c r="U717" s="606"/>
    </row>
    <row r="718" spans="1:21">
      <c r="A718" s="43"/>
      <c r="C718" s="43"/>
      <c r="D718" s="43"/>
      <c r="E718" s="43"/>
      <c r="F718" s="43"/>
      <c r="G718" s="43"/>
      <c r="H718" s="43"/>
      <c r="I718" s="43"/>
      <c r="J718" s="43"/>
      <c r="K718" s="43"/>
      <c r="L718" s="43"/>
      <c r="M718" s="43"/>
      <c r="N718" s="43"/>
      <c r="O718" s="43"/>
      <c r="Q718" s="43"/>
      <c r="U718" s="606"/>
    </row>
    <row r="719" spans="1:21">
      <c r="A719" s="43"/>
      <c r="C719" s="43"/>
      <c r="D719" s="43"/>
      <c r="E719" s="43"/>
      <c r="F719" s="43"/>
      <c r="G719" s="43"/>
      <c r="H719" s="43"/>
      <c r="I719" s="43"/>
      <c r="J719" s="43"/>
      <c r="K719" s="43"/>
      <c r="L719" s="43"/>
      <c r="M719" s="43"/>
      <c r="N719" s="43"/>
      <c r="O719" s="43"/>
      <c r="Q719" s="43"/>
      <c r="U719" s="606"/>
    </row>
    <row r="720" spans="1:21">
      <c r="A720" s="43"/>
      <c r="C720" s="43"/>
      <c r="D720" s="43"/>
      <c r="E720" s="43"/>
      <c r="F720" s="43"/>
      <c r="G720" s="43"/>
      <c r="H720" s="43"/>
      <c r="I720" s="43"/>
      <c r="J720" s="43"/>
      <c r="K720" s="43"/>
      <c r="L720" s="43"/>
      <c r="M720" s="43"/>
      <c r="N720" s="43"/>
      <c r="O720" s="43"/>
      <c r="Q720" s="43"/>
      <c r="U720" s="606"/>
    </row>
    <row r="721" spans="1:21">
      <c r="A721" s="43"/>
      <c r="C721" s="43"/>
      <c r="D721" s="43"/>
      <c r="E721" s="43"/>
      <c r="F721" s="43"/>
      <c r="G721" s="43"/>
      <c r="H721" s="43"/>
      <c r="I721" s="43"/>
      <c r="J721" s="43"/>
      <c r="K721" s="43"/>
      <c r="L721" s="43"/>
      <c r="M721" s="43"/>
      <c r="N721" s="43"/>
      <c r="O721" s="43"/>
      <c r="Q721" s="43"/>
      <c r="U721" s="606"/>
    </row>
  </sheetData>
  <mergeCells count="5">
    <mergeCell ref="V87:V89"/>
    <mergeCell ref="Y87:Y89"/>
    <mergeCell ref="B76:N76"/>
    <mergeCell ref="B75:N75"/>
    <mergeCell ref="V38:V42"/>
  </mergeCells>
  <phoneticPr fontId="111" type="noConversion"/>
  <hyperlinks>
    <hyperlink ref="B3" location="Environment!B8" display="Environment!B8"/>
    <hyperlink ref="B4" location="Environment!B19" display="Environment!B19"/>
    <hyperlink ref="B5" location="Environment!B32" display="Environment!B32"/>
    <hyperlink ref="C3" location="Environment!B78" display="Environment!B78"/>
    <hyperlink ref="F3" location="Environment!B108" display="Environment!B108"/>
    <hyperlink ref="G3" location="Environment!B166" display="Environment!B166"/>
    <hyperlink ref="J3" location="Environment!B227" display="Environment!B227"/>
    <hyperlink ref="J4" location="Environment!B239" display="Environment!B239"/>
    <hyperlink ref="B246" r:id="rId1" display="https://www.novatek.ru/en/development/archive/"/>
    <hyperlink ref="B1" location="Contents!A1" display="← Back to Contents"/>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V412"/>
  <sheetViews>
    <sheetView zoomScale="50" zoomScaleNormal="50" workbookViewId="0">
      <pane xSplit="1" ySplit="8" topLeftCell="B9" activePane="bottomRight" state="frozen"/>
      <selection pane="topRight" activeCell="C1" sqref="C1"/>
      <selection pane="bottomLeft" activeCell="A9" sqref="A9"/>
      <selection pane="bottomRight"/>
    </sheetView>
  </sheetViews>
  <sheetFormatPr defaultColWidth="9.140625" defaultRowHeight="18.75" outlineLevelRow="1"/>
  <cols>
    <col min="1" max="1" width="17.85546875" style="14" customWidth="1"/>
    <col min="2" max="2" width="94.42578125" style="14" customWidth="1"/>
    <col min="3" max="3" width="20.42578125" style="15" customWidth="1"/>
    <col min="4" max="8" width="20.42578125" style="16" customWidth="1"/>
    <col min="9" max="9" width="20.42578125" style="150" customWidth="1"/>
    <col min="10" max="14" width="20.42578125" style="16" customWidth="1"/>
    <col min="15" max="15" width="12.85546875" style="16" customWidth="1"/>
    <col min="16" max="16" width="15.42578125" style="589" customWidth="1"/>
    <col min="17" max="17" width="14" style="16" customWidth="1"/>
    <col min="18" max="21" width="20.42578125" style="589" customWidth="1"/>
    <col min="22" max="22" width="5.42578125" style="589" customWidth="1"/>
    <col min="23" max="23" width="13.140625" style="933" customWidth="1"/>
    <col min="24" max="25" width="5.42578125" style="589" customWidth="1"/>
    <col min="26" max="16384" width="9.140625" style="14"/>
  </cols>
  <sheetData>
    <row r="1" spans="1:25" ht="80.099999999999994" customHeight="1">
      <c r="B1" s="487" t="s">
        <v>168</v>
      </c>
      <c r="G1" s="149"/>
      <c r="L1" s="656"/>
      <c r="M1" s="656"/>
    </row>
    <row r="2" spans="1:25" s="43" customFormat="1">
      <c r="B2" s="151" t="str">
        <f>IF(Contents!$B$2=2,"CONTENTS","СОДЕРЖАНИЕ")</f>
        <v>CONTENTS</v>
      </c>
      <c r="C2" s="257"/>
      <c r="D2" s="257"/>
      <c r="E2" s="257"/>
      <c r="F2" s="257"/>
      <c r="G2" s="258"/>
      <c r="H2" s="258"/>
      <c r="I2" s="258"/>
      <c r="J2" s="257"/>
      <c r="K2" s="257"/>
      <c r="L2" s="257"/>
      <c r="M2" s="257"/>
      <c r="N2" s="257"/>
      <c r="O2" s="16"/>
      <c r="P2" s="589"/>
      <c r="Q2" s="16"/>
      <c r="R2" s="589"/>
      <c r="S2" s="589"/>
      <c r="T2" s="589"/>
      <c r="U2" s="589"/>
      <c r="V2" s="589"/>
      <c r="W2" s="933"/>
      <c r="X2" s="589"/>
      <c r="Y2" s="589"/>
    </row>
    <row r="3" spans="1:25" s="117" customFormat="1">
      <c r="A3" s="532"/>
      <c r="B3" s="568" t="str">
        <f>IF(Contents!$B$2=2,"Personnel structure","Структура персонала")</f>
        <v>Personnel structure</v>
      </c>
      <c r="C3" s="568" t="str">
        <f>IF(Contents!$B$2=2,"Distribution of employees by type of employment","Распределение работников по типу занятости")</f>
        <v>Distribution of employees by type of employment</v>
      </c>
      <c r="D3" s="568"/>
      <c r="E3" s="568"/>
      <c r="F3" s="568"/>
      <c r="G3" s="568" t="str">
        <f>IF(Contents!$B$2=2,"Staff turnover and new employees","Текучесть кадров и новые работники")</f>
        <v>Staff turnover and new employees</v>
      </c>
      <c r="H3" s="568"/>
      <c r="I3" s="568"/>
      <c r="J3" s="568" t="str">
        <f>IF(Contents!$B$2=2,"Compensation","Расходы на выплату вознаграждений работникам")</f>
        <v>Compensation</v>
      </c>
      <c r="K3" s="568"/>
      <c r="L3" s="572"/>
      <c r="M3" s="572"/>
      <c r="N3" s="571"/>
      <c r="O3" s="533"/>
      <c r="P3" s="599"/>
      <c r="Q3" s="533"/>
      <c r="R3" s="630"/>
      <c r="S3" s="630"/>
      <c r="T3" s="630"/>
      <c r="U3" s="630"/>
      <c r="V3" s="630"/>
      <c r="W3" s="937"/>
      <c r="X3" s="599"/>
      <c r="Y3" s="599"/>
    </row>
    <row r="4" spans="1:25">
      <c r="A4" s="532"/>
      <c r="B4" s="568" t="str">
        <f>IF(Contents!$B$2=2,"Distribution of employees by type of employment contract","Распределение работников по типу договора о найме")</f>
        <v>Distribution of employees by type of employment contract</v>
      </c>
      <c r="C4" s="568" t="str">
        <f>IF(Contents!$B$2=2,"Personnel diversity","Многообразие персонала")</f>
        <v>Personnel diversity</v>
      </c>
      <c r="D4" s="568"/>
      <c r="E4" s="568"/>
      <c r="F4" s="568"/>
      <c r="G4" s="568" t="str">
        <f>IF(Contents!$B$2=2,"Social support for employees","Социальная поддержка работников")</f>
        <v>Social support for employees</v>
      </c>
      <c r="H4" s="568"/>
      <c r="I4" s="568"/>
      <c r="J4" s="568" t="str">
        <f>IF(Contents!$B$2=2,"Personnel training and development","Обучение и развитие персонала")</f>
        <v>Personnel training and development</v>
      </c>
      <c r="K4" s="568"/>
      <c r="L4" s="566"/>
      <c r="M4" s="566"/>
      <c r="N4" s="574"/>
      <c r="O4" s="533"/>
      <c r="Q4" s="533"/>
      <c r="R4" s="630"/>
      <c r="S4" s="630"/>
      <c r="T4" s="630"/>
      <c r="U4" s="630"/>
      <c r="V4" s="630"/>
      <c r="W4" s="937"/>
    </row>
    <row r="5" spans="1:25">
      <c r="A5" s="532"/>
      <c r="B5" s="568"/>
      <c r="C5" s="568"/>
      <c r="D5" s="568"/>
      <c r="E5" s="568"/>
      <c r="F5" s="568"/>
      <c r="G5" s="568"/>
      <c r="H5" s="568"/>
      <c r="I5" s="568"/>
      <c r="J5" s="568"/>
      <c r="K5" s="574"/>
      <c r="L5" s="566"/>
      <c r="M5" s="566"/>
      <c r="N5" s="574"/>
      <c r="O5" s="533"/>
      <c r="Q5" s="533"/>
      <c r="R5" s="630"/>
      <c r="S5" s="630"/>
      <c r="T5" s="630"/>
      <c r="U5" s="630"/>
      <c r="V5" s="630"/>
      <c r="W5" s="937"/>
    </row>
    <row r="6" spans="1:25" ht="30">
      <c r="A6" s="17"/>
      <c r="B6" s="356" t="str">
        <f>IF(Contents!$B$2=2,"Personnel","Персонал")</f>
        <v>Personnel</v>
      </c>
      <c r="C6" s="357"/>
      <c r="D6" s="358"/>
      <c r="E6" s="359"/>
      <c r="F6" s="360"/>
      <c r="G6" s="360"/>
      <c r="H6" s="360"/>
      <c r="I6" s="361"/>
      <c r="J6" s="362"/>
      <c r="K6" s="362"/>
      <c r="L6" s="362"/>
      <c r="M6" s="362"/>
      <c r="N6" s="362"/>
      <c r="O6" s="35"/>
      <c r="P6" s="631"/>
      <c r="Q6" s="35"/>
      <c r="R6" s="631"/>
      <c r="S6" s="631"/>
      <c r="T6" s="631"/>
      <c r="U6" s="631"/>
      <c r="W6" s="938"/>
    </row>
    <row r="7" spans="1:25" ht="54.95" customHeight="1">
      <c r="A7" s="17"/>
      <c r="B7" s="47"/>
      <c r="C7" s="19"/>
      <c r="D7" s="20">
        <v>2015</v>
      </c>
      <c r="E7" s="20">
        <v>2016</v>
      </c>
      <c r="F7" s="20">
        <v>2017</v>
      </c>
      <c r="G7" s="21">
        <v>2018</v>
      </c>
      <c r="H7" s="21">
        <v>2019</v>
      </c>
      <c r="I7" s="21">
        <v>2020</v>
      </c>
      <c r="J7" s="21">
        <v>2021</v>
      </c>
      <c r="K7" s="21">
        <v>2022</v>
      </c>
      <c r="L7" s="20">
        <v>2023</v>
      </c>
      <c r="M7" s="20">
        <v>2024</v>
      </c>
      <c r="N7" s="20">
        <v>2025</v>
      </c>
      <c r="O7" s="36"/>
      <c r="P7" s="602" t="str">
        <f>IF(Contents!$B$2=2,"Subject to external assurance in 2025","Внешний аудит в 2025 г.")</f>
        <v>Subject to external assurance in 2025</v>
      </c>
      <c r="Q7" s="930"/>
      <c r="R7" s="602" t="str">
        <f>IF(Contents!$B$2=2,"GRI Disclosure, including GRI 11: Oil and Gas Sector","Индексы Стандартов GRI, в т.ч. GRI 11: Oil and Gas Sector")</f>
        <v>GRI Disclosure, including GRI 11: Oil and Gas Sector</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602" t="str">
        <f>IF(Contents!$B$2=2,"Report scope","Границы отчетности")</f>
        <v>Report scope</v>
      </c>
      <c r="X7" s="504"/>
      <c r="Y7" s="504"/>
    </row>
    <row r="8" spans="1:25" ht="20.100000000000001" customHeight="1">
      <c r="B8" s="45" t="str">
        <f>IF(Contents!$B$2=2,"Personnel structure","Структура персонала")</f>
        <v>Personnel structure</v>
      </c>
      <c r="C8" s="105"/>
      <c r="D8" s="106"/>
      <c r="E8" s="106"/>
      <c r="F8" s="106"/>
      <c r="G8" s="106"/>
      <c r="H8" s="106"/>
      <c r="I8" s="363"/>
      <c r="J8" s="363"/>
      <c r="K8" s="363"/>
      <c r="L8" s="363"/>
      <c r="M8" s="363"/>
      <c r="N8" s="363"/>
      <c r="O8" s="40"/>
      <c r="P8" s="558"/>
      <c r="Q8" s="40"/>
      <c r="R8" s="39"/>
      <c r="S8" s="39"/>
      <c r="T8" s="39"/>
      <c r="U8" s="39"/>
    </row>
    <row r="9" spans="1:25" ht="39.75" customHeight="1">
      <c r="B9" s="48" t="str">
        <f>IF(Contents!$B$2=2,"Number of employees as of the end of the year","Количество работников на конец года")</f>
        <v>Number of employees as of the end of the year</v>
      </c>
      <c r="C9" s="49" t="str">
        <f>IF(Contents!$B$2=2,"people"," человек")</f>
        <v>people</v>
      </c>
      <c r="D9" s="51">
        <v>10408</v>
      </c>
      <c r="E9" s="51">
        <v>11536</v>
      </c>
      <c r="F9" s="51">
        <v>12236</v>
      </c>
      <c r="G9" s="51">
        <v>14234</v>
      </c>
      <c r="H9" s="51">
        <v>15445</v>
      </c>
      <c r="I9" s="51">
        <v>16821</v>
      </c>
      <c r="J9" s="51">
        <v>18404</v>
      </c>
      <c r="K9" s="51">
        <v>19570</v>
      </c>
      <c r="L9" s="51">
        <v>20905</v>
      </c>
      <c r="M9" s="51">
        <v>22036</v>
      </c>
      <c r="N9" s="51">
        <v>23593</v>
      </c>
      <c r="O9" s="869"/>
      <c r="P9" s="558" t="str">
        <f>IF(Contents!$B$2=2,"Yes","Да")</f>
        <v>Yes</v>
      </c>
      <c r="Q9" s="37"/>
      <c r="R9" s="39" t="s">
        <v>122</v>
      </c>
      <c r="S9" s="39"/>
      <c r="T9" s="39"/>
      <c r="U9" s="39"/>
      <c r="W9" s="933">
        <v>1</v>
      </c>
      <c r="Y9" s="595"/>
    </row>
    <row r="10" spans="1:25" ht="22.5" customHeight="1">
      <c r="B10" s="364" t="str">
        <f>IF(Contents!$B$2=2,"by gender","по полу")</f>
        <v>by gender</v>
      </c>
      <c r="C10" s="77"/>
      <c r="D10" s="111"/>
      <c r="E10" s="111"/>
      <c r="F10" s="111"/>
      <c r="G10" s="111"/>
      <c r="H10" s="111"/>
      <c r="I10" s="85"/>
      <c r="J10" s="111"/>
      <c r="K10" s="111"/>
      <c r="L10" s="111"/>
      <c r="M10" s="111"/>
      <c r="N10" s="111"/>
      <c r="O10" s="37"/>
      <c r="P10" s="558"/>
      <c r="Q10" s="164"/>
      <c r="R10" s="39" t="s">
        <v>122</v>
      </c>
      <c r="S10" s="39"/>
      <c r="T10" s="39" t="s">
        <v>123</v>
      </c>
      <c r="U10" s="39"/>
      <c r="Y10" s="595"/>
    </row>
    <row r="11" spans="1:25" ht="22.5" customHeight="1">
      <c r="B11" s="93" t="str">
        <f>IF(Contents!$B$2=2,"Male","Мужчины")</f>
        <v>Male</v>
      </c>
      <c r="C11" s="53" t="str">
        <f>IF(Contents!$B$2=2,"people"," человек")</f>
        <v>people</v>
      </c>
      <c r="D11" s="90">
        <v>7677</v>
      </c>
      <c r="E11" s="90">
        <v>8629</v>
      </c>
      <c r="F11" s="90">
        <v>9196</v>
      </c>
      <c r="G11" s="90">
        <v>10931</v>
      </c>
      <c r="H11" s="90">
        <v>11825</v>
      </c>
      <c r="I11" s="91">
        <v>12920</v>
      </c>
      <c r="J11" s="91">
        <v>14317</v>
      </c>
      <c r="K11" s="91">
        <v>15301</v>
      </c>
      <c r="L11" s="91">
        <v>16472</v>
      </c>
      <c r="M11" s="91">
        <v>17540</v>
      </c>
      <c r="N11" s="89">
        <v>19050</v>
      </c>
      <c r="O11" s="879"/>
      <c r="P11" s="558" t="str">
        <f>IF(Contents!$B$2=2,"Yes","Да")</f>
        <v>Yes</v>
      </c>
      <c r="Q11" s="164"/>
      <c r="R11" s="39"/>
      <c r="S11" s="39"/>
      <c r="T11" s="39"/>
      <c r="U11" s="39"/>
      <c r="W11" s="933">
        <v>1</v>
      </c>
      <c r="Y11" s="595"/>
    </row>
    <row r="12" spans="1:25" ht="22.5" customHeight="1">
      <c r="B12" s="93" t="str">
        <f>IF(Contents!$B$2=2,"Female","Женщины")</f>
        <v>Female</v>
      </c>
      <c r="C12" s="53" t="str">
        <f>IF(Contents!$B$2=2,"people"," человек")</f>
        <v>people</v>
      </c>
      <c r="D12" s="90">
        <v>2731</v>
      </c>
      <c r="E12" s="90">
        <v>2907</v>
      </c>
      <c r="F12" s="90">
        <v>3040</v>
      </c>
      <c r="G12" s="90">
        <v>3303</v>
      </c>
      <c r="H12" s="90">
        <v>3620</v>
      </c>
      <c r="I12" s="91">
        <v>3901</v>
      </c>
      <c r="J12" s="91">
        <v>4087</v>
      </c>
      <c r="K12" s="91">
        <v>4269</v>
      </c>
      <c r="L12" s="91">
        <v>4433</v>
      </c>
      <c r="M12" s="91">
        <v>4496</v>
      </c>
      <c r="N12" s="89">
        <v>4543</v>
      </c>
      <c r="O12" s="879"/>
      <c r="P12" s="558" t="str">
        <f>IF(Contents!$B$2=2,"Yes","Да")</f>
        <v>Yes</v>
      </c>
      <c r="Q12" s="164"/>
      <c r="R12" s="39"/>
      <c r="S12" s="39"/>
      <c r="T12" s="39"/>
      <c r="U12" s="39"/>
      <c r="W12" s="933">
        <v>1</v>
      </c>
      <c r="Y12" s="595"/>
    </row>
    <row r="13" spans="1:25" ht="22.5" customHeight="1">
      <c r="B13" s="78" t="str">
        <f>IF(Contents!$B$2=2,"Percentage of Male employees","Доля мужчин")</f>
        <v>Percentage of Male employees</v>
      </c>
      <c r="C13" s="53" t="s">
        <v>0</v>
      </c>
      <c r="D13" s="38">
        <v>73.8</v>
      </c>
      <c r="E13" s="38">
        <v>74.8</v>
      </c>
      <c r="F13" s="38">
        <v>75.2</v>
      </c>
      <c r="G13" s="38">
        <v>76.8</v>
      </c>
      <c r="H13" s="38">
        <v>76.599999999999994</v>
      </c>
      <c r="I13" s="38">
        <v>76.8</v>
      </c>
      <c r="J13" s="38">
        <v>77.8</v>
      </c>
      <c r="K13" s="38">
        <v>78.2</v>
      </c>
      <c r="L13" s="38">
        <v>78.8</v>
      </c>
      <c r="M13" s="38">
        <v>79.600000000000009</v>
      </c>
      <c r="N13" s="89">
        <v>80.7</v>
      </c>
      <c r="O13" s="879"/>
      <c r="P13" s="558" t="str">
        <f>IF(Contents!$B$2=2,"Yes","Да")</f>
        <v>Yes</v>
      </c>
      <c r="Q13" s="164"/>
      <c r="R13" s="39"/>
      <c r="S13" s="39"/>
      <c r="T13" s="39"/>
      <c r="U13" s="39" t="str">
        <f>IF(Contents!$B$2=2,"PBCS 25","СОКБ 25")</f>
        <v>PBCS 25</v>
      </c>
      <c r="W13" s="933">
        <v>1</v>
      </c>
      <c r="Y13" s="595"/>
    </row>
    <row r="14" spans="1:25" ht="22.5" customHeight="1">
      <c r="B14" s="78" t="str">
        <f>IF(Contents!$B$2=2,"Percentage of Female employees","Доля женщин")</f>
        <v>Percentage of Female employees</v>
      </c>
      <c r="C14" s="53" t="s">
        <v>0</v>
      </c>
      <c r="D14" s="38">
        <v>26.200000000000003</v>
      </c>
      <c r="E14" s="38">
        <v>25.2</v>
      </c>
      <c r="F14" s="38">
        <v>24.8</v>
      </c>
      <c r="G14" s="38">
        <v>23.200000000000003</v>
      </c>
      <c r="H14" s="38">
        <v>23.400000000000002</v>
      </c>
      <c r="I14" s="38">
        <v>23.200000000000003</v>
      </c>
      <c r="J14" s="38">
        <v>22.2</v>
      </c>
      <c r="K14" s="38">
        <v>21.8</v>
      </c>
      <c r="L14" s="38">
        <v>21.2</v>
      </c>
      <c r="M14" s="38">
        <v>20.399999999999999</v>
      </c>
      <c r="N14" s="89">
        <v>19.3</v>
      </c>
      <c r="O14" s="879"/>
      <c r="P14" s="558" t="str">
        <f>IF(Contents!$B$2=2,"Yes","Да")</f>
        <v>Yes</v>
      </c>
      <c r="Q14" s="164"/>
      <c r="R14" s="39"/>
      <c r="S14" s="39"/>
      <c r="T14" s="39"/>
      <c r="U14" s="39" t="str">
        <f>IF(Contents!$B$2=2,"PBCS 25","СОКБ 25")</f>
        <v>PBCS 25</v>
      </c>
      <c r="W14" s="933">
        <v>1</v>
      </c>
      <c r="Y14" s="595"/>
    </row>
    <row r="15" spans="1:25" ht="25.5" customHeight="1">
      <c r="B15" s="23" t="str">
        <f>IF(Contents!$B$2=2,"by position","по должностям")</f>
        <v>by position</v>
      </c>
      <c r="C15" s="77"/>
      <c r="D15" s="111"/>
      <c r="E15" s="111"/>
      <c r="F15" s="111"/>
      <c r="G15" s="111"/>
      <c r="H15" s="111"/>
      <c r="I15" s="366"/>
      <c r="J15" s="111"/>
      <c r="K15" s="111"/>
      <c r="L15" s="111"/>
      <c r="M15" s="111"/>
      <c r="N15" s="111"/>
      <c r="O15" s="37"/>
      <c r="P15" s="595"/>
      <c r="Q15" s="164"/>
      <c r="R15" s="187" t="s">
        <v>124</v>
      </c>
      <c r="S15" s="39"/>
      <c r="T15" s="39" t="s">
        <v>123</v>
      </c>
      <c r="U15" s="39"/>
    </row>
    <row r="16" spans="1:25" ht="22.5" customHeight="1">
      <c r="B16" s="78" t="str">
        <f>IF(Contents!$B$2=2,"Managers","Руководители")</f>
        <v>Managers</v>
      </c>
      <c r="C16" s="53" t="str">
        <f>IF(Contents!$B$2=2,"people"," человек")</f>
        <v>people</v>
      </c>
      <c r="D16" s="46" t="s">
        <v>185</v>
      </c>
      <c r="E16" s="46" t="s">
        <v>185</v>
      </c>
      <c r="F16" s="46" t="s">
        <v>185</v>
      </c>
      <c r="G16" s="46" t="s">
        <v>185</v>
      </c>
      <c r="H16" s="46" t="s">
        <v>185</v>
      </c>
      <c r="I16" s="46" t="s">
        <v>185</v>
      </c>
      <c r="J16" s="46" t="s">
        <v>185</v>
      </c>
      <c r="K16" s="46" t="s">
        <v>185</v>
      </c>
      <c r="L16" s="38">
        <v>4126</v>
      </c>
      <c r="M16" s="38">
        <v>4289</v>
      </c>
      <c r="N16" s="89">
        <v>4418</v>
      </c>
      <c r="O16" s="879"/>
      <c r="P16" s="558" t="str">
        <f>IF(Contents!$B$2=2,"Yes","Да")</f>
        <v>Yes</v>
      </c>
      <c r="Q16" s="164"/>
      <c r="R16" s="39"/>
      <c r="S16" s="39"/>
      <c r="T16" s="39"/>
      <c r="U16" s="39"/>
      <c r="W16" s="933">
        <v>1</v>
      </c>
    </row>
    <row r="17" spans="2:25" ht="22.5" customHeight="1">
      <c r="B17" s="87" t="str">
        <f>IF(Contents!$B$2=2,"White-collar employees","Специалисты и служащие")</f>
        <v>White-collar employees</v>
      </c>
      <c r="C17" s="53" t="str">
        <f>IF(Contents!$B$2=2,"people"," человек")</f>
        <v>people</v>
      </c>
      <c r="D17" s="46" t="s">
        <v>185</v>
      </c>
      <c r="E17" s="46" t="s">
        <v>185</v>
      </c>
      <c r="F17" s="46" t="s">
        <v>185</v>
      </c>
      <c r="G17" s="46" t="s">
        <v>185</v>
      </c>
      <c r="H17" s="46" t="s">
        <v>185</v>
      </c>
      <c r="I17" s="46" t="s">
        <v>185</v>
      </c>
      <c r="J17" s="46" t="s">
        <v>185</v>
      </c>
      <c r="K17" s="46" t="s">
        <v>185</v>
      </c>
      <c r="L17" s="38">
        <v>8023</v>
      </c>
      <c r="M17" s="38">
        <v>8529</v>
      </c>
      <c r="N17" s="89">
        <v>9877</v>
      </c>
      <c r="O17" s="879"/>
      <c r="P17" s="558" t="str">
        <f>IF(Contents!$B$2=2,"Yes","Да")</f>
        <v>Yes</v>
      </c>
      <c r="Q17" s="164"/>
      <c r="R17" s="39"/>
      <c r="S17" s="39"/>
      <c r="T17" s="39"/>
      <c r="U17" s="39"/>
      <c r="W17" s="933">
        <v>1</v>
      </c>
    </row>
    <row r="18" spans="2:25" ht="22.5" customHeight="1">
      <c r="B18" s="78" t="str">
        <f>IF(Contents!$B$2=2,"Blue-collar employees","Рабочие")</f>
        <v>Blue-collar employees</v>
      </c>
      <c r="C18" s="53" t="str">
        <f>IF(Contents!$B$2=2,"people"," человек")</f>
        <v>people</v>
      </c>
      <c r="D18" s="46" t="s">
        <v>185</v>
      </c>
      <c r="E18" s="46" t="s">
        <v>185</v>
      </c>
      <c r="F18" s="46" t="s">
        <v>185</v>
      </c>
      <c r="G18" s="46" t="s">
        <v>185</v>
      </c>
      <c r="H18" s="46" t="s">
        <v>185</v>
      </c>
      <c r="I18" s="46" t="s">
        <v>185</v>
      </c>
      <c r="J18" s="46" t="s">
        <v>185</v>
      </c>
      <c r="K18" s="46" t="s">
        <v>185</v>
      </c>
      <c r="L18" s="38">
        <v>8756</v>
      </c>
      <c r="M18" s="38">
        <v>9218</v>
      </c>
      <c r="N18" s="89">
        <v>9298</v>
      </c>
      <c r="O18" s="879"/>
      <c r="P18" s="558" t="str">
        <f>IF(Contents!$B$2=2,"Yes","Да")</f>
        <v>Yes</v>
      </c>
      <c r="Q18" s="164"/>
      <c r="R18" s="39"/>
      <c r="S18" s="39"/>
      <c r="T18" s="39"/>
      <c r="U18" s="39"/>
      <c r="W18" s="933">
        <v>1</v>
      </c>
    </row>
    <row r="19" spans="2:25" ht="22.5" customHeight="1">
      <c r="B19" s="78" t="str">
        <f>IF(Contents!$B$2=2,"Percentage of Managers","Доля руководителей")</f>
        <v>Percentage of Managers</v>
      </c>
      <c r="C19" s="53" t="s">
        <v>0</v>
      </c>
      <c r="D19" s="46" t="s">
        <v>185</v>
      </c>
      <c r="E19" s="46" t="s">
        <v>185</v>
      </c>
      <c r="F19" s="46" t="s">
        <v>185</v>
      </c>
      <c r="G19" s="46" t="s">
        <v>185</v>
      </c>
      <c r="H19" s="46" t="s">
        <v>185</v>
      </c>
      <c r="I19" s="46" t="s">
        <v>185</v>
      </c>
      <c r="J19" s="46" t="s">
        <v>185</v>
      </c>
      <c r="K19" s="46" t="s">
        <v>185</v>
      </c>
      <c r="L19" s="38">
        <v>19.73690504663956</v>
      </c>
      <c r="M19" s="38">
        <v>19.46</v>
      </c>
      <c r="N19" s="89">
        <v>18.73</v>
      </c>
      <c r="O19" s="878"/>
      <c r="P19" s="558" t="str">
        <f>IF(Contents!$B$2=2,"Yes","Да")</f>
        <v>Yes</v>
      </c>
      <c r="Q19" s="164"/>
      <c r="R19" s="39"/>
      <c r="S19" s="39"/>
      <c r="T19" s="39"/>
      <c r="U19" s="39"/>
      <c r="W19" s="933">
        <v>1</v>
      </c>
    </row>
    <row r="20" spans="2:25" ht="22.5" customHeight="1">
      <c r="B20" s="78" t="str">
        <f>IF(Contents!$B$2=2,"Percentage of White-collar employees","Доля специалистов и служащих")</f>
        <v>Percentage of White-collar employees</v>
      </c>
      <c r="C20" s="53" t="s">
        <v>0</v>
      </c>
      <c r="D20" s="46" t="s">
        <v>185</v>
      </c>
      <c r="E20" s="46" t="s">
        <v>185</v>
      </c>
      <c r="F20" s="46" t="s">
        <v>185</v>
      </c>
      <c r="G20" s="46" t="s">
        <v>185</v>
      </c>
      <c r="H20" s="46" t="s">
        <v>185</v>
      </c>
      <c r="I20" s="46" t="s">
        <v>185</v>
      </c>
      <c r="J20" s="46" t="s">
        <v>185</v>
      </c>
      <c r="K20" s="46" t="s">
        <v>185</v>
      </c>
      <c r="L20" s="38">
        <v>38.378378378378379</v>
      </c>
      <c r="M20" s="38">
        <v>38.700000000000003</v>
      </c>
      <c r="N20" s="89">
        <v>41.86</v>
      </c>
      <c r="O20" s="878"/>
      <c r="P20" s="558" t="str">
        <f>IF(Contents!$B$2=2,"Yes","Да")</f>
        <v>Yes</v>
      </c>
      <c r="Q20" s="164"/>
      <c r="R20" s="39"/>
      <c r="S20" s="39"/>
      <c r="T20" s="39"/>
      <c r="U20" s="39"/>
      <c r="W20" s="933">
        <v>1</v>
      </c>
    </row>
    <row r="21" spans="2:25" ht="22.5" customHeight="1">
      <c r="B21" s="78" t="str">
        <f>IF(Contents!$B$2=2,"Percentage of Blue-collar employees","Доля рабочих")</f>
        <v>Percentage of Blue-collar employees</v>
      </c>
      <c r="C21" s="53" t="s">
        <v>0</v>
      </c>
      <c r="D21" s="46" t="s">
        <v>185</v>
      </c>
      <c r="E21" s="46" t="s">
        <v>185</v>
      </c>
      <c r="F21" s="46" t="s">
        <v>185</v>
      </c>
      <c r="G21" s="46" t="s">
        <v>185</v>
      </c>
      <c r="H21" s="46" t="s">
        <v>185</v>
      </c>
      <c r="I21" s="46" t="s">
        <v>185</v>
      </c>
      <c r="J21" s="46" t="s">
        <v>185</v>
      </c>
      <c r="K21" s="46" t="s">
        <v>185</v>
      </c>
      <c r="L21" s="38">
        <v>41.884716574982065</v>
      </c>
      <c r="M21" s="38">
        <v>41.83</v>
      </c>
      <c r="N21" s="89">
        <v>39.410000000000004</v>
      </c>
      <c r="O21" s="878"/>
      <c r="P21" s="558" t="str">
        <f>IF(Contents!$B$2=2,"Yes","Да")</f>
        <v>Yes</v>
      </c>
      <c r="Q21" s="164"/>
      <c r="R21" s="39"/>
      <c r="S21" s="39"/>
      <c r="T21" s="39"/>
      <c r="U21" s="39"/>
      <c r="W21" s="933">
        <v>1</v>
      </c>
    </row>
    <row r="22" spans="2:25" ht="22.5" customHeight="1">
      <c r="B22" s="23" t="str">
        <f>IF(Contents!$B$2=2,"by age","по возрасту")</f>
        <v>by age</v>
      </c>
      <c r="C22" s="77"/>
      <c r="D22" s="111"/>
      <c r="E22" s="111"/>
      <c r="F22" s="111"/>
      <c r="G22" s="111"/>
      <c r="H22" s="111"/>
      <c r="I22" s="366"/>
      <c r="J22" s="111"/>
      <c r="K22" s="111"/>
      <c r="L22" s="111"/>
      <c r="M22" s="111"/>
      <c r="N22" s="111"/>
      <c r="O22" s="37"/>
      <c r="P22" s="595"/>
      <c r="Q22" s="164"/>
      <c r="R22" s="187" t="s">
        <v>124</v>
      </c>
      <c r="S22" s="39"/>
      <c r="T22" s="39" t="s">
        <v>123</v>
      </c>
      <c r="U22" s="39" t="str">
        <f>IF(Contents!$B$2=2,"PBCS 25","СОКБ 25")</f>
        <v>PBCS 25</v>
      </c>
    </row>
    <row r="23" spans="2:25" ht="22.5" customHeight="1">
      <c r="B23" s="78" t="str">
        <f>IF(Contents!$B$2=2,"Under 30","До 30 лет")</f>
        <v>Under 30</v>
      </c>
      <c r="C23" s="53" t="str">
        <f>IF(Contents!$B$2=2,"people"," человек")</f>
        <v>people</v>
      </c>
      <c r="D23" s="46" t="s">
        <v>185</v>
      </c>
      <c r="E23" s="46" t="s">
        <v>185</v>
      </c>
      <c r="F23" s="90">
        <v>1830</v>
      </c>
      <c r="G23" s="90">
        <v>1815</v>
      </c>
      <c r="H23" s="90">
        <v>1870</v>
      </c>
      <c r="I23" s="90">
        <v>1825</v>
      </c>
      <c r="J23" s="91">
        <v>1785</v>
      </c>
      <c r="K23" s="91">
        <v>1769</v>
      </c>
      <c r="L23" s="38">
        <v>1690</v>
      </c>
      <c r="M23" s="38">
        <v>1644</v>
      </c>
      <c r="N23" s="89">
        <v>1670</v>
      </c>
      <c r="O23" s="879"/>
      <c r="P23" s="558" t="str">
        <f>IF(Contents!$B$2=2,"Yes","Да")</f>
        <v>Yes</v>
      </c>
      <c r="Q23" s="164"/>
      <c r="R23" s="39"/>
      <c r="S23" s="39"/>
      <c r="T23" s="39"/>
      <c r="U23" s="39"/>
      <c r="W23" s="933">
        <v>1</v>
      </c>
    </row>
    <row r="24" spans="2:25" ht="22.5" customHeight="1">
      <c r="B24" s="78" t="str">
        <f>IF(Contents!$B$2=2,"30 to 50","30-50 лет")</f>
        <v>30 to 50</v>
      </c>
      <c r="C24" s="53" t="str">
        <f>IF(Contents!$B$2=2,"people"," человек")</f>
        <v>people</v>
      </c>
      <c r="D24" s="46" t="s">
        <v>185</v>
      </c>
      <c r="E24" s="46" t="s">
        <v>185</v>
      </c>
      <c r="F24" s="90">
        <v>8571</v>
      </c>
      <c r="G24" s="90">
        <v>9856</v>
      </c>
      <c r="H24" s="90">
        <v>11326</v>
      </c>
      <c r="I24" s="90">
        <v>12524</v>
      </c>
      <c r="J24" s="91">
        <v>13847</v>
      </c>
      <c r="K24" s="91">
        <v>14692</v>
      </c>
      <c r="L24" s="38">
        <v>15760</v>
      </c>
      <c r="M24" s="38">
        <v>16518</v>
      </c>
      <c r="N24" s="89">
        <v>17583</v>
      </c>
      <c r="O24" s="879"/>
      <c r="P24" s="558" t="str">
        <f>IF(Contents!$B$2=2,"Yes","Да")</f>
        <v>Yes</v>
      </c>
      <c r="Q24" s="164"/>
      <c r="R24" s="39"/>
      <c r="S24" s="39"/>
      <c r="T24" s="39"/>
      <c r="U24" s="39"/>
      <c r="W24" s="933">
        <v>1</v>
      </c>
    </row>
    <row r="25" spans="2:25" ht="22.5" customHeight="1">
      <c r="B25" s="78" t="str">
        <f>IF(Contents!$B$2=2,"Over 50","Старше 50 лет")</f>
        <v>Over 50</v>
      </c>
      <c r="C25" s="53" t="str">
        <f>IF(Contents!$B$2=2,"people"," человек")</f>
        <v>people</v>
      </c>
      <c r="D25" s="46" t="s">
        <v>185</v>
      </c>
      <c r="E25" s="46" t="s">
        <v>185</v>
      </c>
      <c r="F25" s="90">
        <v>1835</v>
      </c>
      <c r="G25" s="90">
        <v>2023</v>
      </c>
      <c r="H25" s="90">
        <v>2249</v>
      </c>
      <c r="I25" s="90">
        <v>2472</v>
      </c>
      <c r="J25" s="91">
        <v>2772</v>
      </c>
      <c r="K25" s="91">
        <v>3109</v>
      </c>
      <c r="L25" s="38">
        <v>3455</v>
      </c>
      <c r="M25" s="38">
        <v>3874</v>
      </c>
      <c r="N25" s="89">
        <v>4340</v>
      </c>
      <c r="O25" s="879"/>
      <c r="P25" s="558" t="str">
        <f>IF(Contents!$B$2=2,"Yes","Да")</f>
        <v>Yes</v>
      </c>
      <c r="Q25" s="164"/>
      <c r="R25" s="39"/>
      <c r="S25" s="39"/>
      <c r="T25" s="39"/>
      <c r="U25" s="39"/>
      <c r="W25" s="933">
        <v>1</v>
      </c>
    </row>
    <row r="26" spans="2:25" ht="22.5" customHeight="1">
      <c r="B26" s="78" t="str">
        <f>IF(Contents!$B$2=2,"Percentage of employees Under 30","Доля работников до 30 лет")</f>
        <v>Percentage of employees Under 30</v>
      </c>
      <c r="C26" s="53" t="s">
        <v>0</v>
      </c>
      <c r="D26" s="46" t="s">
        <v>185</v>
      </c>
      <c r="E26" s="46" t="s">
        <v>185</v>
      </c>
      <c r="F26" s="46">
        <v>14.955867930696307</v>
      </c>
      <c r="G26" s="46">
        <v>12.751159196290571</v>
      </c>
      <c r="H26" s="46">
        <v>12.107478148268049</v>
      </c>
      <c r="I26" s="46">
        <v>10.849533321443435</v>
      </c>
      <c r="J26" s="46">
        <v>9.6989784829384913</v>
      </c>
      <c r="K26" s="46">
        <v>9.0393459376596841</v>
      </c>
      <c r="L26" s="46">
        <v>8.08419038507534</v>
      </c>
      <c r="M26" s="46">
        <v>7.0000000000000009</v>
      </c>
      <c r="N26" s="89">
        <v>7.0000000000000009</v>
      </c>
      <c r="O26" s="38"/>
      <c r="P26" s="558" t="str">
        <f>IF(Contents!$B$2=2,"Yes","Да")</f>
        <v>Yes</v>
      </c>
      <c r="Q26" s="164"/>
      <c r="R26" s="39"/>
      <c r="S26" s="39"/>
      <c r="T26" s="39"/>
      <c r="U26" s="39"/>
      <c r="W26" s="933">
        <v>1</v>
      </c>
    </row>
    <row r="27" spans="2:25" ht="22.5" customHeight="1">
      <c r="B27" s="78" t="str">
        <f>IF(Contents!$B$2=2,"Percentage of employees 30 to 50","Доля работников от 30 до 50 лет")</f>
        <v>Percentage of employees 30 to 50</v>
      </c>
      <c r="C27" s="53" t="s">
        <v>0</v>
      </c>
      <c r="D27" s="46" t="s">
        <v>185</v>
      </c>
      <c r="E27" s="46" t="s">
        <v>185</v>
      </c>
      <c r="F27" s="46">
        <v>70.047401111474343</v>
      </c>
      <c r="G27" s="46">
        <v>69.24265842349304</v>
      </c>
      <c r="H27" s="46">
        <v>73.331175137584978</v>
      </c>
      <c r="I27" s="46">
        <v>74.454550859045241</v>
      </c>
      <c r="J27" s="46">
        <v>75.239078461204087</v>
      </c>
      <c r="K27" s="46">
        <v>75.074092999489011</v>
      </c>
      <c r="L27" s="46">
        <v>75.38866299928246</v>
      </c>
      <c r="M27" s="46">
        <v>75</v>
      </c>
      <c r="N27" s="89">
        <v>75</v>
      </c>
      <c r="O27" s="38"/>
      <c r="P27" s="558" t="str">
        <f>IF(Contents!$B$2=2,"Yes","Да")</f>
        <v>Yes</v>
      </c>
      <c r="Q27" s="164"/>
      <c r="R27" s="39"/>
      <c r="S27" s="39"/>
      <c r="T27" s="39"/>
      <c r="U27" s="39"/>
      <c r="W27" s="933">
        <v>1</v>
      </c>
    </row>
    <row r="28" spans="2:25" ht="22.5" customHeight="1">
      <c r="B28" s="78" t="str">
        <f>IF(Contents!$B$2=2,"Percentage of employees Over 50","Доля работников старше 50 лет")</f>
        <v>Percentage of employees Over 50</v>
      </c>
      <c r="C28" s="53" t="s">
        <v>0</v>
      </c>
      <c r="D28" s="46" t="s">
        <v>185</v>
      </c>
      <c r="E28" s="46" t="s">
        <v>185</v>
      </c>
      <c r="F28" s="46">
        <v>14.996730957829357</v>
      </c>
      <c r="G28" s="46">
        <v>14.212449065617536</v>
      </c>
      <c r="H28" s="46">
        <v>14.561346714146971</v>
      </c>
      <c r="I28" s="46">
        <v>14.695915819511324</v>
      </c>
      <c r="J28" s="46">
        <v>15.061943055857421</v>
      </c>
      <c r="K28" s="46">
        <v>15.886561062851303</v>
      </c>
      <c r="L28" s="46">
        <v>16.527146615642192</v>
      </c>
      <c r="M28" s="46">
        <v>18</v>
      </c>
      <c r="N28" s="89">
        <v>18</v>
      </c>
      <c r="O28" s="38"/>
      <c r="P28" s="558" t="str">
        <f>IF(Contents!$B$2=2,"Yes","Да")</f>
        <v>Yes</v>
      </c>
      <c r="Q28" s="164"/>
      <c r="R28" s="39"/>
      <c r="S28" s="39"/>
      <c r="T28" s="39"/>
      <c r="U28" s="39"/>
      <c r="W28" s="933">
        <v>1</v>
      </c>
    </row>
    <row r="29" spans="2:25" ht="22.5" customHeight="1">
      <c r="B29" s="23" t="str">
        <f>IF(Contents!$B$2=2,"by region","по региону")</f>
        <v>by region</v>
      </c>
      <c r="C29" s="77"/>
      <c r="D29" s="111"/>
      <c r="E29" s="111"/>
      <c r="F29" s="111"/>
      <c r="G29" s="111"/>
      <c r="H29" s="111"/>
      <c r="I29" s="366"/>
      <c r="J29" s="111"/>
      <c r="K29" s="111"/>
      <c r="L29" s="111"/>
      <c r="M29" s="111"/>
      <c r="N29" s="111"/>
      <c r="O29" s="37"/>
      <c r="P29" s="558"/>
      <c r="Q29" s="164"/>
      <c r="R29" s="39" t="s">
        <v>122</v>
      </c>
      <c r="S29" s="39"/>
      <c r="T29" s="39" t="s">
        <v>123</v>
      </c>
      <c r="U29" s="39"/>
      <c r="Y29" s="595"/>
    </row>
    <row r="30" spans="2:25" ht="22.5" customHeight="1">
      <c r="B30" s="177" t="str">
        <f>IF(Contents!$B$2=2,"Russian Federation","Российская Федерация")</f>
        <v>Russian Federation</v>
      </c>
      <c r="C30" s="53" t="str">
        <f>IF(Contents!$B$2=2,"people"," человек")</f>
        <v>people</v>
      </c>
      <c r="D30" s="90">
        <v>10307</v>
      </c>
      <c r="E30" s="90">
        <v>11427</v>
      </c>
      <c r="F30" s="90">
        <v>12102</v>
      </c>
      <c r="G30" s="90">
        <v>13532</v>
      </c>
      <c r="H30" s="90">
        <v>15239</v>
      </c>
      <c r="I30" s="90">
        <v>16588</v>
      </c>
      <c r="J30" s="90">
        <v>18139</v>
      </c>
      <c r="K30" s="90">
        <v>19448</v>
      </c>
      <c r="L30" s="90">
        <v>20774</v>
      </c>
      <c r="M30" s="90">
        <v>21877</v>
      </c>
      <c r="N30" s="95">
        <v>23428</v>
      </c>
      <c r="O30" s="879"/>
      <c r="P30" s="558" t="str">
        <f>IF(Contents!$B$2=2,"Yes","Да")</f>
        <v>Yes</v>
      </c>
      <c r="Q30" s="164"/>
      <c r="R30" s="39"/>
      <c r="S30" s="39"/>
      <c r="T30" s="39"/>
      <c r="U30" s="39"/>
      <c r="W30" s="933">
        <v>1</v>
      </c>
      <c r="Y30" s="595"/>
    </row>
    <row r="31" spans="2:25" ht="22.5" customHeight="1">
      <c r="B31" s="207" t="str">
        <f>IF(Contents!$B$2=2,"Yamal-Nenets Autonomous Region","Ямало-Ненецкий автономный округ")</f>
        <v>Yamal-Nenets Autonomous Region</v>
      </c>
      <c r="C31" s="53" t="str">
        <f>IF(Contents!$B$2=2,"people"," человек")</f>
        <v>people</v>
      </c>
      <c r="D31" s="90">
        <v>6509</v>
      </c>
      <c r="E31" s="90">
        <v>7281</v>
      </c>
      <c r="F31" s="90">
        <v>7916</v>
      </c>
      <c r="G31" s="90">
        <v>8815</v>
      </c>
      <c r="H31" s="90">
        <v>9647</v>
      </c>
      <c r="I31" s="91">
        <v>10127</v>
      </c>
      <c r="J31" s="91">
        <v>10950</v>
      </c>
      <c r="K31" s="91">
        <v>11517</v>
      </c>
      <c r="L31" s="91">
        <v>12559</v>
      </c>
      <c r="M31" s="91">
        <v>13300</v>
      </c>
      <c r="N31" s="89">
        <v>14606</v>
      </c>
      <c r="O31" s="879"/>
      <c r="P31" s="558" t="str">
        <f>IF(Contents!$B$2=2,"Yes","Да")</f>
        <v>Yes</v>
      </c>
      <c r="Q31" s="164"/>
      <c r="R31" s="39"/>
      <c r="S31" s="39"/>
      <c r="T31" s="39"/>
      <c r="U31" s="39"/>
      <c r="W31" s="933">
        <v>1</v>
      </c>
      <c r="Y31" s="595"/>
    </row>
    <row r="32" spans="2:25" ht="22.5" customHeight="1">
      <c r="B32" s="207" t="str">
        <f>IF(Contents!$B$2=2,"Moscow and Moscow Region","Москва и Московская область")</f>
        <v>Moscow and Moscow Region</v>
      </c>
      <c r="C32" s="53" t="str">
        <f>IF(Contents!$B$2=2,"people"," человек")</f>
        <v>people</v>
      </c>
      <c r="D32" s="90">
        <v>1499</v>
      </c>
      <c r="E32" s="90">
        <v>1759</v>
      </c>
      <c r="F32" s="90">
        <v>1605</v>
      </c>
      <c r="G32" s="90">
        <v>1766</v>
      </c>
      <c r="H32" s="90">
        <v>2092</v>
      </c>
      <c r="I32" s="91">
        <v>2386</v>
      </c>
      <c r="J32" s="91">
        <v>2596</v>
      </c>
      <c r="K32" s="91">
        <v>2642</v>
      </c>
      <c r="L32" s="91">
        <v>2950</v>
      </c>
      <c r="M32" s="91">
        <v>2952</v>
      </c>
      <c r="N32" s="89">
        <v>2960</v>
      </c>
      <c r="O32" s="879"/>
      <c r="P32" s="558" t="str">
        <f>IF(Contents!$B$2=2,"Yes","Да")</f>
        <v>Yes</v>
      </c>
      <c r="Q32" s="164"/>
      <c r="R32" s="39"/>
      <c r="S32" s="39"/>
      <c r="T32" s="39"/>
      <c r="U32" s="39"/>
      <c r="W32" s="933">
        <v>1</v>
      </c>
      <c r="Y32" s="595"/>
    </row>
    <row r="33" spans="1:25" ht="22.5" customHeight="1">
      <c r="B33" s="207" t="str">
        <f>IF(Contents!$B$2=2,"Chelyabinsk Region","Челябинская область")</f>
        <v>Chelyabinsk Region</v>
      </c>
      <c r="C33" s="53" t="str">
        <f>IF(Contents!$B$2=2,"people"," человек")</f>
        <v>people</v>
      </c>
      <c r="D33" s="90">
        <v>920</v>
      </c>
      <c r="E33" s="90">
        <v>935</v>
      </c>
      <c r="F33" s="90">
        <v>954</v>
      </c>
      <c r="G33" s="90">
        <v>970</v>
      </c>
      <c r="H33" s="90">
        <v>1191</v>
      </c>
      <c r="I33" s="91">
        <v>1288</v>
      </c>
      <c r="J33" s="91">
        <v>1290</v>
      </c>
      <c r="K33" s="91">
        <v>1277</v>
      </c>
      <c r="L33" s="91">
        <v>1217</v>
      </c>
      <c r="M33" s="91">
        <v>1249</v>
      </c>
      <c r="N33" s="89">
        <v>1295</v>
      </c>
      <c r="O33" s="879"/>
      <c r="P33" s="558" t="str">
        <f>IF(Contents!$B$2=2,"Yes","Да")</f>
        <v>Yes</v>
      </c>
      <c r="Q33" s="164"/>
      <c r="R33" s="39"/>
      <c r="S33" s="39"/>
      <c r="T33" s="39"/>
      <c r="U33" s="39"/>
      <c r="W33" s="933">
        <v>1</v>
      </c>
      <c r="Y33" s="595"/>
    </row>
    <row r="34" spans="1:25" ht="22.5" customHeight="1">
      <c r="B34" s="207" t="str">
        <f>IF(Contents!$B$2=2,"St. Petersburg and Leningrad Region","Санкт-Петербург и Ленинградская область")</f>
        <v>St. Petersburg and Leningrad Region</v>
      </c>
      <c r="C34" s="53" t="str">
        <f>IF(Contents!$B$2=2,"people"," человек")</f>
        <v>people</v>
      </c>
      <c r="D34" s="90">
        <v>533</v>
      </c>
      <c r="E34" s="90">
        <v>546</v>
      </c>
      <c r="F34" s="90">
        <v>632</v>
      </c>
      <c r="G34" s="90">
        <v>803</v>
      </c>
      <c r="H34" s="90">
        <v>906</v>
      </c>
      <c r="I34" s="91">
        <v>978</v>
      </c>
      <c r="J34" s="91">
        <v>1115</v>
      </c>
      <c r="K34" s="91">
        <v>1246</v>
      </c>
      <c r="L34" s="91">
        <v>1320</v>
      </c>
      <c r="M34" s="91">
        <v>1380</v>
      </c>
      <c r="N34" s="89">
        <v>1468</v>
      </c>
      <c r="O34" s="879"/>
      <c r="P34" s="558" t="str">
        <f>IF(Contents!$B$2=2,"Yes","Да")</f>
        <v>Yes</v>
      </c>
      <c r="Q34" s="164"/>
      <c r="R34" s="39"/>
      <c r="S34" s="39"/>
      <c r="T34" s="39"/>
      <c r="U34" s="39"/>
      <c r="W34" s="933">
        <v>1</v>
      </c>
      <c r="Y34" s="595"/>
    </row>
    <row r="35" spans="1:25" ht="22.5" customHeight="1">
      <c r="B35" s="285" t="str">
        <f>IF(Contents!$B$2=2,"Other regions","Прочие регионы")</f>
        <v>Other regions</v>
      </c>
      <c r="C35" s="53" t="str">
        <f>IF(Contents!$B$2=2,"people"," человек")</f>
        <v>people</v>
      </c>
      <c r="D35" s="90">
        <v>846</v>
      </c>
      <c r="E35" s="90">
        <v>906</v>
      </c>
      <c r="F35" s="90">
        <v>995</v>
      </c>
      <c r="G35" s="90">
        <v>1178</v>
      </c>
      <c r="H35" s="90">
        <v>1403</v>
      </c>
      <c r="I35" s="91">
        <v>1809</v>
      </c>
      <c r="J35" s="91">
        <v>2188</v>
      </c>
      <c r="K35" s="91">
        <v>2766</v>
      </c>
      <c r="L35" s="91">
        <v>2728</v>
      </c>
      <c r="M35" s="91">
        <v>2996</v>
      </c>
      <c r="N35" s="89">
        <v>3099</v>
      </c>
      <c r="O35" s="879"/>
      <c r="P35" s="558" t="str">
        <f>IF(Contents!$B$2=2,"Yes","Да")</f>
        <v>Yes</v>
      </c>
      <c r="Q35" s="164"/>
      <c r="R35" s="39"/>
      <c r="S35" s="39"/>
      <c r="T35" s="39"/>
      <c r="U35" s="39"/>
      <c r="W35" s="933">
        <v>1</v>
      </c>
      <c r="Y35" s="595"/>
    </row>
    <row r="36" spans="1:25" ht="22.5" hidden="1" customHeight="1" outlineLevel="1">
      <c r="A36" s="167"/>
      <c r="B36" s="367" t="str">
        <f>IF(Contents!$B$2=2,"Tyumen Region","Тюменская область")</f>
        <v>Tyumen Region</v>
      </c>
      <c r="C36" s="53" t="str">
        <f>IF(Contents!$B$2=2,"people"," человек")</f>
        <v>people</v>
      </c>
      <c r="D36" s="90">
        <v>204</v>
      </c>
      <c r="E36" s="90">
        <v>214</v>
      </c>
      <c r="F36" s="90">
        <v>232</v>
      </c>
      <c r="G36" s="90">
        <v>300</v>
      </c>
      <c r="H36" s="90">
        <v>419</v>
      </c>
      <c r="I36" s="91">
        <v>546</v>
      </c>
      <c r="J36" s="91">
        <v>714</v>
      </c>
      <c r="K36" s="91">
        <v>797</v>
      </c>
      <c r="L36" s="91">
        <v>869</v>
      </c>
      <c r="M36" s="91">
        <v>943</v>
      </c>
      <c r="N36" s="89">
        <v>1070</v>
      </c>
      <c r="O36" s="879"/>
      <c r="P36" s="558" t="str">
        <f>IF(Contents!$B$2=2,"Yes","Да")</f>
        <v>Yes</v>
      </c>
      <c r="Q36" s="164"/>
      <c r="R36" s="39"/>
      <c r="S36" s="39"/>
      <c r="T36" s="39"/>
      <c r="U36" s="39"/>
      <c r="W36" s="933">
        <v>1</v>
      </c>
      <c r="Y36" s="595"/>
    </row>
    <row r="37" spans="1:25" ht="22.5" hidden="1" customHeight="1" outlineLevel="1">
      <c r="A37" s="167"/>
      <c r="B37" s="367" t="str">
        <f>IF(Contents!$B$2=2,"Rostov Region","Ростовская область")</f>
        <v>Rostov Region</v>
      </c>
      <c r="C37" s="53" t="str">
        <f>IF(Contents!$B$2=2,"people"," человек")</f>
        <v>people</v>
      </c>
      <c r="D37" s="90">
        <v>189</v>
      </c>
      <c r="E37" s="90">
        <v>193</v>
      </c>
      <c r="F37" s="90">
        <v>208</v>
      </c>
      <c r="G37" s="90">
        <v>204</v>
      </c>
      <c r="H37" s="90">
        <v>202</v>
      </c>
      <c r="I37" s="91">
        <v>214</v>
      </c>
      <c r="J37" s="91">
        <v>208</v>
      </c>
      <c r="K37" s="91">
        <v>210</v>
      </c>
      <c r="L37" s="91">
        <v>190</v>
      </c>
      <c r="M37" s="91">
        <v>205</v>
      </c>
      <c r="N37" s="89">
        <v>207</v>
      </c>
      <c r="O37" s="879"/>
      <c r="P37" s="558" t="str">
        <f>IF(Contents!$B$2=2,"Yes","Да")</f>
        <v>Yes</v>
      </c>
      <c r="Q37" s="164"/>
      <c r="R37" s="39"/>
      <c r="S37" s="39"/>
      <c r="T37" s="39"/>
      <c r="U37" s="39"/>
      <c r="W37" s="933">
        <v>1</v>
      </c>
      <c r="Y37" s="595"/>
    </row>
    <row r="38" spans="1:25" ht="22.5" hidden="1" customHeight="1" outlineLevel="1">
      <c r="A38" s="167"/>
      <c r="B38" s="367" t="str">
        <f>IF(Contents!$B$2=2,"Kostroma Region","Костромская область")</f>
        <v>Kostroma Region</v>
      </c>
      <c r="C38" s="53" t="str">
        <f>IF(Contents!$B$2=2,"people"," человек")</f>
        <v>people</v>
      </c>
      <c r="D38" s="90">
        <v>180</v>
      </c>
      <c r="E38" s="90">
        <v>188</v>
      </c>
      <c r="F38" s="90">
        <v>192</v>
      </c>
      <c r="G38" s="90">
        <v>197</v>
      </c>
      <c r="H38" s="90">
        <v>195</v>
      </c>
      <c r="I38" s="91">
        <v>202</v>
      </c>
      <c r="J38" s="91">
        <v>201</v>
      </c>
      <c r="K38" s="91">
        <v>201</v>
      </c>
      <c r="L38" s="91">
        <v>197</v>
      </c>
      <c r="M38" s="91">
        <v>195</v>
      </c>
      <c r="N38" s="89">
        <v>199</v>
      </c>
      <c r="O38" s="879"/>
      <c r="P38" s="558" t="str">
        <f>IF(Contents!$B$2=2,"Yes","Да")</f>
        <v>Yes</v>
      </c>
      <c r="Q38" s="164"/>
      <c r="R38" s="39"/>
      <c r="S38" s="39"/>
      <c r="T38" s="39"/>
      <c r="U38" s="39"/>
      <c r="W38" s="933">
        <v>1</v>
      </c>
      <c r="Y38" s="595"/>
    </row>
    <row r="39" spans="1:25" ht="22.5" hidden="1" customHeight="1" outlineLevel="1">
      <c r="A39" s="167"/>
      <c r="B39" s="367" t="str">
        <f>IF(Contents!$B$2=2,"Volgograd Region","Волгоградская область")</f>
        <v>Volgograd Region</v>
      </c>
      <c r="C39" s="53" t="str">
        <f>IF(Contents!$B$2=2,"people"," человек")</f>
        <v>people</v>
      </c>
      <c r="D39" s="90">
        <v>197</v>
      </c>
      <c r="E39" s="90">
        <v>190</v>
      </c>
      <c r="F39" s="90">
        <v>181</v>
      </c>
      <c r="G39" s="90">
        <v>186</v>
      </c>
      <c r="H39" s="90">
        <v>191</v>
      </c>
      <c r="I39" s="91">
        <v>201</v>
      </c>
      <c r="J39" s="91">
        <v>203</v>
      </c>
      <c r="K39" s="91">
        <v>213</v>
      </c>
      <c r="L39" s="91">
        <v>206</v>
      </c>
      <c r="M39" s="91">
        <v>203</v>
      </c>
      <c r="N39" s="89">
        <v>212</v>
      </c>
      <c r="O39" s="879"/>
      <c r="P39" s="558" t="str">
        <f>IF(Contents!$B$2=2,"Yes","Да")</f>
        <v>Yes</v>
      </c>
      <c r="Q39" s="164"/>
      <c r="R39" s="39"/>
      <c r="S39" s="39"/>
      <c r="T39" s="39"/>
      <c r="U39" s="39"/>
      <c r="W39" s="933">
        <v>1</v>
      </c>
      <c r="Y39" s="595"/>
    </row>
    <row r="40" spans="1:25" ht="22.5" hidden="1" customHeight="1" outlineLevel="1">
      <c r="A40" s="167"/>
      <c r="B40" s="367" t="str">
        <f>IF(Contents!$B$2=2,"Murmansk Region","Мурманская область")</f>
        <v>Murmansk Region</v>
      </c>
      <c r="C40" s="53" t="str">
        <f>IF(Contents!$B$2=2,"people"," человек")</f>
        <v>people</v>
      </c>
      <c r="D40" s="90">
        <v>24</v>
      </c>
      <c r="E40" s="90">
        <v>68</v>
      </c>
      <c r="F40" s="90">
        <v>137</v>
      </c>
      <c r="G40" s="90">
        <v>172</v>
      </c>
      <c r="H40" s="90">
        <v>264</v>
      </c>
      <c r="I40" s="91">
        <v>474</v>
      </c>
      <c r="J40" s="91">
        <v>663</v>
      </c>
      <c r="K40" s="91">
        <v>1100</v>
      </c>
      <c r="L40" s="91">
        <v>959</v>
      </c>
      <c r="M40" s="91">
        <v>857</v>
      </c>
      <c r="N40" s="89">
        <v>775</v>
      </c>
      <c r="O40" s="879"/>
      <c r="P40" s="558" t="str">
        <f>IF(Contents!$B$2=2,"Yes","Да")</f>
        <v>Yes</v>
      </c>
      <c r="Q40" s="164"/>
      <c r="R40" s="39"/>
      <c r="S40" s="39"/>
      <c r="T40" s="39"/>
      <c r="U40" s="39"/>
      <c r="W40" s="933">
        <v>1</v>
      </c>
      <c r="Y40" s="595"/>
    </row>
    <row r="41" spans="1:25" ht="22.5" hidden="1" customHeight="1" outlineLevel="1">
      <c r="A41" s="167"/>
      <c r="B41" s="367" t="str">
        <f>IF(Contents!$B$2=2,"Khanty-Mansiysk Autonomous Region","Ханты-Мансийский автономный округ")</f>
        <v>Khanty-Mansiysk Autonomous Region</v>
      </c>
      <c r="C41" s="53" t="str">
        <f>IF(Contents!$B$2=2,"people"," человек")</f>
        <v>people</v>
      </c>
      <c r="D41" s="90">
        <v>0</v>
      </c>
      <c r="E41" s="90">
        <v>0</v>
      </c>
      <c r="F41" s="90">
        <v>0</v>
      </c>
      <c r="G41" s="90">
        <v>67</v>
      </c>
      <c r="H41" s="90">
        <v>65</v>
      </c>
      <c r="I41" s="91">
        <v>63</v>
      </c>
      <c r="J41" s="91">
        <v>64</v>
      </c>
      <c r="K41" s="91">
        <v>66</v>
      </c>
      <c r="L41" s="91">
        <v>63</v>
      </c>
      <c r="M41" s="91">
        <v>64</v>
      </c>
      <c r="N41" s="89">
        <v>61</v>
      </c>
      <c r="O41" s="879"/>
      <c r="P41" s="558" t="str">
        <f>IF(Contents!$B$2=2,"Yes","Да")</f>
        <v>Yes</v>
      </c>
      <c r="Q41" s="164"/>
      <c r="R41" s="39"/>
      <c r="S41" s="39"/>
      <c r="T41" s="39"/>
      <c r="U41" s="39"/>
      <c r="W41" s="933">
        <v>1</v>
      </c>
      <c r="Y41" s="595"/>
    </row>
    <row r="42" spans="1:25" ht="22.5" hidden="1" customHeight="1" outlineLevel="1">
      <c r="A42" s="167"/>
      <c r="B42" s="367" t="str">
        <f>IF(Contents!$B$2=2,"Perm Territory","Пермский край")</f>
        <v>Perm Territory</v>
      </c>
      <c r="C42" s="53" t="str">
        <f>IF(Contents!$B$2=2,"people"," человек")</f>
        <v>people</v>
      </c>
      <c r="D42" s="90">
        <v>19</v>
      </c>
      <c r="E42" s="90">
        <v>21</v>
      </c>
      <c r="F42" s="90">
        <v>21</v>
      </c>
      <c r="G42" s="90">
        <v>22</v>
      </c>
      <c r="H42" s="90">
        <v>21</v>
      </c>
      <c r="I42" s="91">
        <v>22</v>
      </c>
      <c r="J42" s="91">
        <v>23</v>
      </c>
      <c r="K42" s="91">
        <v>22</v>
      </c>
      <c r="L42" s="91">
        <v>22</v>
      </c>
      <c r="M42" s="91">
        <v>22</v>
      </c>
      <c r="N42" s="89">
        <v>22</v>
      </c>
      <c r="O42" s="879"/>
      <c r="P42" s="558" t="str">
        <f>IF(Contents!$B$2=2,"Yes","Да")</f>
        <v>Yes</v>
      </c>
      <c r="Q42" s="164"/>
      <c r="R42" s="39"/>
      <c r="S42" s="39"/>
      <c r="T42" s="39"/>
      <c r="U42" s="39"/>
      <c r="W42" s="933">
        <v>1</v>
      </c>
      <c r="Y42" s="595"/>
    </row>
    <row r="43" spans="1:25" ht="22.5" hidden="1" customHeight="1" outlineLevel="1">
      <c r="A43" s="167"/>
      <c r="B43" s="367" t="str">
        <f>IF(Contents!$B$2=2,"Astrakhan Region","Астраханская область")</f>
        <v>Astrakhan Region</v>
      </c>
      <c r="C43" s="53" t="str">
        <f>IF(Contents!$B$2=2,"people"," человек")</f>
        <v>people</v>
      </c>
      <c r="D43" s="90">
        <v>21</v>
      </c>
      <c r="E43" s="90">
        <v>19</v>
      </c>
      <c r="F43" s="90">
        <v>18</v>
      </c>
      <c r="G43" s="90">
        <v>18</v>
      </c>
      <c r="H43" s="90">
        <v>19</v>
      </c>
      <c r="I43" s="91">
        <v>20</v>
      </c>
      <c r="J43" s="91">
        <v>20</v>
      </c>
      <c r="K43" s="91">
        <v>21</v>
      </c>
      <c r="L43" s="91">
        <v>24</v>
      </c>
      <c r="M43" s="91">
        <v>25</v>
      </c>
      <c r="N43" s="89">
        <v>25</v>
      </c>
      <c r="O43" s="879"/>
      <c r="P43" s="558" t="str">
        <f>IF(Contents!$B$2=2,"Yes","Да")</f>
        <v>Yes</v>
      </c>
      <c r="Q43" s="164"/>
      <c r="R43" s="39"/>
      <c r="S43" s="39"/>
      <c r="T43" s="39"/>
      <c r="U43" s="39"/>
      <c r="W43" s="933">
        <v>1</v>
      </c>
      <c r="Y43" s="595"/>
    </row>
    <row r="44" spans="1:25" ht="22.5" hidden="1" customHeight="1" outlineLevel="1">
      <c r="A44" s="167"/>
      <c r="B44" s="367" t="str">
        <f>IF(Contents!$B$2=2,"Krasnodar Territory","Краснодарский край")</f>
        <v>Krasnodar Territory</v>
      </c>
      <c r="C44" s="53" t="str">
        <f>IF(Contents!$B$2=2,"people"," человек")</f>
        <v>people</v>
      </c>
      <c r="D44" s="90">
        <v>0</v>
      </c>
      <c r="E44" s="90">
        <v>0</v>
      </c>
      <c r="F44" s="90">
        <v>0</v>
      </c>
      <c r="G44" s="90">
        <v>4</v>
      </c>
      <c r="H44" s="90">
        <v>6</v>
      </c>
      <c r="I44" s="91">
        <v>7</v>
      </c>
      <c r="J44" s="91">
        <v>4</v>
      </c>
      <c r="K44" s="91">
        <v>7</v>
      </c>
      <c r="L44" s="91">
        <v>6</v>
      </c>
      <c r="M44" s="91">
        <v>0</v>
      </c>
      <c r="N44" s="89">
        <v>0</v>
      </c>
      <c r="O44" s="879"/>
      <c r="P44" s="558" t="str">
        <f>IF(Contents!$B$2=2,"Yes","Да")</f>
        <v>Yes</v>
      </c>
      <c r="Q44" s="164"/>
      <c r="R44" s="39"/>
      <c r="S44" s="39"/>
      <c r="T44" s="39"/>
      <c r="U44" s="39"/>
      <c r="W44" s="933">
        <v>1</v>
      </c>
      <c r="Y44" s="595"/>
    </row>
    <row r="45" spans="1:25" ht="22.5" hidden="1" customHeight="1" outlineLevel="1">
      <c r="A45" s="167"/>
      <c r="B45" s="367" t="str">
        <f>IF(Contents!$B$2=2,"Samara Region","Самарская область")</f>
        <v>Samara Region</v>
      </c>
      <c r="C45" s="53" t="str">
        <f>IF(Contents!$B$2=2,"people"," человек")</f>
        <v>people</v>
      </c>
      <c r="D45" s="90">
        <v>1</v>
      </c>
      <c r="E45" s="90">
        <v>2</v>
      </c>
      <c r="F45" s="90">
        <v>3</v>
      </c>
      <c r="G45" s="90">
        <v>3</v>
      </c>
      <c r="H45" s="90">
        <v>5</v>
      </c>
      <c r="I45" s="91">
        <v>8</v>
      </c>
      <c r="J45" s="91">
        <v>18</v>
      </c>
      <c r="K45" s="91">
        <v>20</v>
      </c>
      <c r="L45" s="91">
        <v>25</v>
      </c>
      <c r="M45" s="91">
        <v>36</v>
      </c>
      <c r="N45" s="89">
        <v>37</v>
      </c>
      <c r="O45" s="879"/>
      <c r="P45" s="558" t="str">
        <f>IF(Contents!$B$2=2,"Yes","Да")</f>
        <v>Yes</v>
      </c>
      <c r="Q45" s="164"/>
      <c r="R45" s="39"/>
      <c r="S45" s="39"/>
      <c r="T45" s="39"/>
      <c r="U45" s="39"/>
      <c r="W45" s="933">
        <v>1</v>
      </c>
      <c r="Y45" s="595"/>
    </row>
    <row r="46" spans="1:25" ht="22.5" hidden="1" customHeight="1" outlineLevel="1">
      <c r="A46" s="167"/>
      <c r="B46" s="367" t="str">
        <f>IF(Contents!$B$2=2,"Arkhangelsk Region","Архангельская область")</f>
        <v>Arkhangelsk Region</v>
      </c>
      <c r="C46" s="53" t="str">
        <f>IF(Contents!$B$2=2,"people"," человек")</f>
        <v>people</v>
      </c>
      <c r="D46" s="90">
        <v>3</v>
      </c>
      <c r="E46" s="90">
        <v>3</v>
      </c>
      <c r="F46" s="90">
        <v>3</v>
      </c>
      <c r="G46" s="90">
        <v>3</v>
      </c>
      <c r="H46" s="90">
        <v>3</v>
      </c>
      <c r="I46" s="91">
        <v>3</v>
      </c>
      <c r="J46" s="91">
        <v>4</v>
      </c>
      <c r="K46" s="91">
        <v>4</v>
      </c>
      <c r="L46" s="91">
        <v>6</v>
      </c>
      <c r="M46" s="91">
        <v>6</v>
      </c>
      <c r="N46" s="89">
        <v>5</v>
      </c>
      <c r="O46" s="879"/>
      <c r="P46" s="558" t="str">
        <f>IF(Contents!$B$2=2,"Yes","Да")</f>
        <v>Yes</v>
      </c>
      <c r="Q46" s="164"/>
      <c r="R46" s="39"/>
      <c r="S46" s="39"/>
      <c r="T46" s="39"/>
      <c r="U46" s="39"/>
      <c r="W46" s="933">
        <v>1</v>
      </c>
      <c r="Y46" s="595"/>
    </row>
    <row r="47" spans="1:25" ht="22.5" hidden="1" customHeight="1" outlineLevel="1">
      <c r="A47" s="167"/>
      <c r="B47" s="367" t="str">
        <f>IF(Contents!$B$2=2,"Kamchatka Territory","Камчатский край")</f>
        <v>Kamchatka Territory</v>
      </c>
      <c r="C47" s="53" t="str">
        <f>IF(Contents!$B$2=2,"people"," человек")</f>
        <v>people</v>
      </c>
      <c r="D47" s="90">
        <v>0</v>
      </c>
      <c r="E47" s="90">
        <v>0</v>
      </c>
      <c r="F47" s="90">
        <v>0</v>
      </c>
      <c r="G47" s="90">
        <v>2</v>
      </c>
      <c r="H47" s="90">
        <v>3</v>
      </c>
      <c r="I47" s="91">
        <v>4</v>
      </c>
      <c r="J47" s="91">
        <v>14</v>
      </c>
      <c r="K47" s="91">
        <v>27</v>
      </c>
      <c r="L47" s="91">
        <v>77</v>
      </c>
      <c r="M47" s="91">
        <v>89</v>
      </c>
      <c r="N47" s="89">
        <v>130</v>
      </c>
      <c r="O47" s="879"/>
      <c r="P47" s="558" t="str">
        <f>IF(Contents!$B$2=2,"Yes","Да")</f>
        <v>Yes</v>
      </c>
      <c r="Q47" s="164"/>
      <c r="R47" s="39"/>
      <c r="S47" s="39"/>
      <c r="T47" s="39"/>
      <c r="U47" s="39"/>
      <c r="W47" s="933">
        <v>1</v>
      </c>
      <c r="Y47" s="595"/>
    </row>
    <row r="48" spans="1:25" ht="22.5" hidden="1" customHeight="1" outlineLevel="1">
      <c r="A48" s="167"/>
      <c r="B48" s="367" t="str">
        <f>IF(Contents!$B$2=2,"Republic of Bashkortostan","Республика Башкортостан")</f>
        <v>Republic of Bashkortostan</v>
      </c>
      <c r="C48" s="53" t="str">
        <f>IF(Contents!$B$2=2,"people"," человек")</f>
        <v>people</v>
      </c>
      <c r="D48" s="90">
        <v>0</v>
      </c>
      <c r="E48" s="90">
        <v>0</v>
      </c>
      <c r="F48" s="90">
        <v>0</v>
      </c>
      <c r="G48" s="90">
        <v>0</v>
      </c>
      <c r="H48" s="90">
        <v>9</v>
      </c>
      <c r="I48" s="91">
        <v>20</v>
      </c>
      <c r="J48" s="91">
        <v>17</v>
      </c>
      <c r="K48" s="91">
        <v>21</v>
      </c>
      <c r="L48" s="91">
        <v>19</v>
      </c>
      <c r="M48" s="91">
        <v>22</v>
      </c>
      <c r="N48" s="89">
        <v>21</v>
      </c>
      <c r="O48" s="879"/>
      <c r="P48" s="558" t="str">
        <f>IF(Contents!$B$2=2,"Yes","Да")</f>
        <v>Yes</v>
      </c>
      <c r="Q48" s="164"/>
      <c r="R48" s="39"/>
      <c r="S48" s="39"/>
      <c r="T48" s="39"/>
      <c r="U48" s="39"/>
      <c r="W48" s="933">
        <v>1</v>
      </c>
      <c r="Y48" s="595"/>
    </row>
    <row r="49" spans="1:25" ht="22.5" hidden="1" customHeight="1" outlineLevel="1">
      <c r="A49" s="167"/>
      <c r="B49" s="367" t="str">
        <f>IF(Contents!$B$2=2,"Novosibirsk Region","Новосибирская область")</f>
        <v>Novosibirsk Region</v>
      </c>
      <c r="C49" s="53" t="str">
        <f>IF(Contents!$B$2=2,"people"," человек")</f>
        <v>people</v>
      </c>
      <c r="D49" s="90">
        <v>0</v>
      </c>
      <c r="E49" s="90">
        <v>0</v>
      </c>
      <c r="F49" s="90">
        <v>0</v>
      </c>
      <c r="G49" s="90">
        <v>0</v>
      </c>
      <c r="H49" s="90">
        <v>1</v>
      </c>
      <c r="I49" s="91">
        <v>1</v>
      </c>
      <c r="J49" s="91">
        <v>1</v>
      </c>
      <c r="K49" s="91">
        <v>0</v>
      </c>
      <c r="L49" s="91">
        <v>0</v>
      </c>
      <c r="M49" s="91">
        <v>0</v>
      </c>
      <c r="N49" s="89">
        <v>0</v>
      </c>
      <c r="O49" s="879"/>
      <c r="P49" s="558" t="str">
        <f>IF(Contents!$B$2=2,"Yes","Да")</f>
        <v>Yes</v>
      </c>
      <c r="Q49" s="164"/>
      <c r="R49" s="39"/>
      <c r="S49" s="39"/>
      <c r="T49" s="39"/>
      <c r="U49" s="39"/>
      <c r="W49" s="933">
        <v>1</v>
      </c>
      <c r="Y49" s="595"/>
    </row>
    <row r="50" spans="1:25" ht="22.5" hidden="1" customHeight="1" outlineLevel="1">
      <c r="A50" s="167"/>
      <c r="B50" s="367" t="str">
        <f>IF(Contents!$B$2=2,"Stavropol Territory","Ставропольский край")</f>
        <v>Stavropol Territory</v>
      </c>
      <c r="C50" s="53" t="str">
        <f>IF(Contents!$B$2=2,"people"," человек")</f>
        <v>people</v>
      </c>
      <c r="D50" s="90">
        <v>8</v>
      </c>
      <c r="E50" s="90">
        <v>8</v>
      </c>
      <c r="F50" s="90">
        <v>0</v>
      </c>
      <c r="G50" s="90">
        <v>0</v>
      </c>
      <c r="H50" s="90">
        <v>0</v>
      </c>
      <c r="I50" s="91">
        <v>0</v>
      </c>
      <c r="J50" s="91">
        <v>0</v>
      </c>
      <c r="K50" s="91">
        <v>0</v>
      </c>
      <c r="L50" s="91">
        <v>0</v>
      </c>
      <c r="M50" s="91">
        <v>0</v>
      </c>
      <c r="N50" s="89">
        <v>0</v>
      </c>
      <c r="O50" s="879"/>
      <c r="P50" s="558" t="str">
        <f>IF(Contents!$B$2=2,"Yes","Да")</f>
        <v>Yes</v>
      </c>
      <c r="Q50" s="164"/>
      <c r="R50" s="39"/>
      <c r="S50" s="39"/>
      <c r="T50" s="39"/>
      <c r="U50" s="39"/>
      <c r="W50" s="933">
        <v>1</v>
      </c>
      <c r="Y50" s="595"/>
    </row>
    <row r="51" spans="1:25" ht="22.5" hidden="1" customHeight="1" outlineLevel="1">
      <c r="A51" s="167"/>
      <c r="B51" s="367" t="str">
        <f>IF(Contents!$B$2=2,"Sverdlovsk Region","Свердловская область")</f>
        <v>Sverdlovsk Region</v>
      </c>
      <c r="C51" s="53" t="str">
        <f>IF(Contents!$B$2=2,"people"," человек")</f>
        <v>people</v>
      </c>
      <c r="D51" s="90">
        <v>0</v>
      </c>
      <c r="E51" s="90">
        <v>0</v>
      </c>
      <c r="F51" s="90">
        <v>0</v>
      </c>
      <c r="G51" s="90">
        <v>0</v>
      </c>
      <c r="H51" s="90">
        <v>0</v>
      </c>
      <c r="I51" s="91">
        <v>10</v>
      </c>
      <c r="J51" s="91">
        <v>12</v>
      </c>
      <c r="K51" s="91">
        <v>20</v>
      </c>
      <c r="L51" s="91">
        <v>21</v>
      </c>
      <c r="M51" s="91">
        <v>15</v>
      </c>
      <c r="N51" s="89">
        <v>14</v>
      </c>
      <c r="O51" s="879"/>
      <c r="P51" s="558" t="str">
        <f>IF(Contents!$B$2=2,"Yes","Да")</f>
        <v>Yes</v>
      </c>
      <c r="Q51" s="164"/>
      <c r="R51" s="39"/>
      <c r="S51" s="39"/>
      <c r="T51" s="39"/>
      <c r="U51" s="39"/>
      <c r="W51" s="933">
        <v>1</v>
      </c>
      <c r="Y51" s="595"/>
    </row>
    <row r="52" spans="1:25" ht="22.5" hidden="1" customHeight="1" outlineLevel="1">
      <c r="A52" s="167"/>
      <c r="B52" s="367" t="str">
        <f>IF(Contents!$B$2=2,"Tver region","Тверская область")</f>
        <v>Tver region</v>
      </c>
      <c r="C52" s="53" t="str">
        <f>IF(Contents!$B$2=2,"people"," человек")</f>
        <v>people</v>
      </c>
      <c r="D52" s="90">
        <v>0</v>
      </c>
      <c r="E52" s="90">
        <v>0</v>
      </c>
      <c r="F52" s="90">
        <v>0</v>
      </c>
      <c r="G52" s="90">
        <v>0</v>
      </c>
      <c r="H52" s="90">
        <v>0</v>
      </c>
      <c r="I52" s="91">
        <v>6</v>
      </c>
      <c r="J52" s="91">
        <v>9</v>
      </c>
      <c r="K52" s="91">
        <v>9</v>
      </c>
      <c r="L52" s="91">
        <v>9</v>
      </c>
      <c r="M52" s="91">
        <v>9</v>
      </c>
      <c r="N52" s="89">
        <v>10</v>
      </c>
      <c r="O52" s="879"/>
      <c r="P52" s="558" t="str">
        <f>IF(Contents!$B$2=2,"Yes","Да")</f>
        <v>Yes</v>
      </c>
      <c r="Q52" s="164"/>
      <c r="R52" s="39"/>
      <c r="S52" s="39"/>
      <c r="T52" s="39"/>
      <c r="U52" s="39"/>
      <c r="W52" s="933">
        <v>1</v>
      </c>
      <c r="Y52" s="595"/>
    </row>
    <row r="53" spans="1:25" ht="22.5" hidden="1" customHeight="1" outlineLevel="1">
      <c r="A53" s="167"/>
      <c r="B53" s="367" t="str">
        <f>IF(Contents!$B$2=2,"Tula Region","Тульская область")</f>
        <v>Tula Region</v>
      </c>
      <c r="C53" s="53" t="str">
        <f>IF(Contents!$B$2=2,"people"," человек")</f>
        <v>people</v>
      </c>
      <c r="D53" s="90">
        <v>0</v>
      </c>
      <c r="E53" s="90">
        <v>0</v>
      </c>
      <c r="F53" s="90">
        <v>0</v>
      </c>
      <c r="G53" s="90">
        <v>0</v>
      </c>
      <c r="H53" s="90">
        <v>0</v>
      </c>
      <c r="I53" s="91">
        <v>6</v>
      </c>
      <c r="J53" s="91">
        <v>7</v>
      </c>
      <c r="K53" s="91">
        <v>9</v>
      </c>
      <c r="L53" s="91">
        <v>10</v>
      </c>
      <c r="M53" s="91">
        <v>12</v>
      </c>
      <c r="N53" s="89">
        <v>13</v>
      </c>
      <c r="O53" s="879"/>
      <c r="P53" s="558" t="str">
        <f>IF(Contents!$B$2=2,"Yes","Да")</f>
        <v>Yes</v>
      </c>
      <c r="Q53" s="164"/>
      <c r="R53" s="39"/>
      <c r="S53" s="39"/>
      <c r="T53" s="39"/>
      <c r="U53" s="39"/>
      <c r="W53" s="933">
        <v>1</v>
      </c>
      <c r="Y53" s="595"/>
    </row>
    <row r="54" spans="1:25" ht="22.5" hidden="1" customHeight="1" outlineLevel="1">
      <c r="A54" s="167"/>
      <c r="B54" s="367" t="str">
        <f>IF(Contents!$B$2=2,"Republic of Tatarstan","Республика Татарстан")</f>
        <v>Republic of Tatarstan</v>
      </c>
      <c r="C54" s="53" t="str">
        <f>IF(Contents!$B$2=2,"people"," человек")</f>
        <v>people</v>
      </c>
      <c r="D54" s="90">
        <v>0</v>
      </c>
      <c r="E54" s="90">
        <v>0</v>
      </c>
      <c r="F54" s="90">
        <v>0</v>
      </c>
      <c r="G54" s="90">
        <v>0</v>
      </c>
      <c r="H54" s="90">
        <v>0</v>
      </c>
      <c r="I54" s="91">
        <v>1</v>
      </c>
      <c r="J54" s="91">
        <v>6</v>
      </c>
      <c r="K54" s="91">
        <v>9</v>
      </c>
      <c r="L54" s="91">
        <v>9</v>
      </c>
      <c r="M54" s="91">
        <v>9</v>
      </c>
      <c r="N54" s="89">
        <v>6</v>
      </c>
      <c r="O54" s="879"/>
      <c r="P54" s="558" t="str">
        <f>IF(Contents!$B$2=2,"Yes","Да")</f>
        <v>Yes</v>
      </c>
      <c r="Q54" s="164"/>
      <c r="R54" s="39"/>
      <c r="S54" s="39"/>
      <c r="T54" s="39"/>
      <c r="U54" s="39"/>
      <c r="W54" s="933">
        <v>1</v>
      </c>
      <c r="Y54" s="595"/>
    </row>
    <row r="55" spans="1:25" ht="22.5" hidden="1" customHeight="1" outlineLevel="1">
      <c r="A55" s="167"/>
      <c r="B55" s="367" t="str">
        <f>IF(Contents!$B$2=2,"Vladimir Region","Владимирская область")</f>
        <v>Vladimir Region</v>
      </c>
      <c r="C55" s="53" t="str">
        <f>IF(Contents!$B$2=2,"people"," человек")</f>
        <v>people</v>
      </c>
      <c r="D55" s="90">
        <v>0</v>
      </c>
      <c r="E55" s="90">
        <v>0</v>
      </c>
      <c r="F55" s="90">
        <v>0</v>
      </c>
      <c r="G55" s="90">
        <v>0</v>
      </c>
      <c r="H55" s="90">
        <v>0</v>
      </c>
      <c r="I55" s="91">
        <v>0</v>
      </c>
      <c r="J55" s="91">
        <v>0</v>
      </c>
      <c r="K55" s="91">
        <v>10</v>
      </c>
      <c r="L55" s="91">
        <v>10</v>
      </c>
      <c r="M55" s="91">
        <v>10</v>
      </c>
      <c r="N55" s="89">
        <v>15</v>
      </c>
      <c r="O55" s="879"/>
      <c r="P55" s="558" t="str">
        <f>IF(Contents!$B$2=2,"Yes","Да")</f>
        <v>Yes</v>
      </c>
      <c r="Q55" s="164"/>
      <c r="R55" s="39"/>
      <c r="S55" s="39"/>
      <c r="T55" s="39"/>
      <c r="U55" s="39"/>
      <c r="W55" s="933">
        <v>1</v>
      </c>
      <c r="Y55" s="595"/>
    </row>
    <row r="56" spans="1:25" ht="22.5" hidden="1" customHeight="1" outlineLevel="1">
      <c r="A56" s="167"/>
      <c r="B56" s="367" t="str">
        <f>IF(Contents!$B$2=2,"Penza Region","Пензенская область")</f>
        <v>Penza Region</v>
      </c>
      <c r="C56" s="53" t="str">
        <f>IF(Contents!$B$2=2,"people"," человек")</f>
        <v>people</v>
      </c>
      <c r="D56" s="90">
        <v>0</v>
      </c>
      <c r="E56" s="90">
        <v>0</v>
      </c>
      <c r="F56" s="90">
        <v>0</v>
      </c>
      <c r="G56" s="90">
        <v>0</v>
      </c>
      <c r="H56" s="90">
        <v>0</v>
      </c>
      <c r="I56" s="91">
        <v>0</v>
      </c>
      <c r="J56" s="91">
        <v>0</v>
      </c>
      <c r="K56" s="91">
        <v>0</v>
      </c>
      <c r="L56" s="91">
        <v>6</v>
      </c>
      <c r="M56" s="91">
        <v>6</v>
      </c>
      <c r="N56" s="89">
        <v>6</v>
      </c>
      <c r="O56" s="879"/>
      <c r="P56" s="558" t="str">
        <f>IF(Contents!$B$2=2,"Yes","Да")</f>
        <v>Yes</v>
      </c>
      <c r="Q56" s="164"/>
      <c r="R56" s="39"/>
      <c r="S56" s="39"/>
      <c r="T56" s="39"/>
      <c r="U56" s="39"/>
      <c r="W56" s="933">
        <v>1</v>
      </c>
      <c r="Y56" s="595"/>
    </row>
    <row r="57" spans="1:25" ht="22.5" hidden="1" customHeight="1" outlineLevel="1">
      <c r="A57" s="167"/>
      <c r="B57" s="368" t="str">
        <f>IF(Contents!$B$2=2,"Nizhny Novgorod region","Нижегородская область")</f>
        <v>Nizhny Novgorod region</v>
      </c>
      <c r="C57" s="53" t="str">
        <f>IF(Contents!$B$2=2,"people"," человек")</f>
        <v>people</v>
      </c>
      <c r="D57" s="90">
        <v>0</v>
      </c>
      <c r="E57" s="90">
        <v>0</v>
      </c>
      <c r="F57" s="90">
        <v>0</v>
      </c>
      <c r="G57" s="90">
        <v>0</v>
      </c>
      <c r="H57" s="90">
        <v>0</v>
      </c>
      <c r="I57" s="91">
        <v>0</v>
      </c>
      <c r="J57" s="91">
        <v>0</v>
      </c>
      <c r="K57" s="91">
        <v>0</v>
      </c>
      <c r="L57" s="91">
        <v>0</v>
      </c>
      <c r="M57" s="91">
        <v>6</v>
      </c>
      <c r="N57" s="89">
        <v>6</v>
      </c>
      <c r="O57" s="879"/>
      <c r="P57" s="558" t="str">
        <f>IF(Contents!$B$2=2,"Yes","Да")</f>
        <v>Yes</v>
      </c>
      <c r="Q57" s="164"/>
      <c r="R57" s="39"/>
      <c r="S57" s="39"/>
      <c r="T57" s="39"/>
      <c r="U57" s="39"/>
      <c r="W57" s="933">
        <v>1</v>
      </c>
      <c r="Y57" s="595"/>
    </row>
    <row r="58" spans="1:25" ht="22.5" hidden="1" customHeight="1" outlineLevel="1">
      <c r="A58" s="167"/>
      <c r="B58" s="368" t="str">
        <f>IF(Contents!$B$2=2,"Primorsky Krai","Приморский край")</f>
        <v>Primorsky Krai</v>
      </c>
      <c r="C58" s="53" t="str">
        <f>IF(Contents!$B$2=2,"people"," человек")</f>
        <v>people</v>
      </c>
      <c r="D58" s="90">
        <v>0</v>
      </c>
      <c r="E58" s="90">
        <v>0</v>
      </c>
      <c r="F58" s="90">
        <v>0</v>
      </c>
      <c r="G58" s="90">
        <v>0</v>
      </c>
      <c r="H58" s="90">
        <v>0</v>
      </c>
      <c r="I58" s="91">
        <v>0</v>
      </c>
      <c r="J58" s="91">
        <v>0</v>
      </c>
      <c r="K58" s="91">
        <v>0</v>
      </c>
      <c r="L58" s="91">
        <v>0</v>
      </c>
      <c r="M58" s="91">
        <v>262</v>
      </c>
      <c r="N58" s="89">
        <v>256</v>
      </c>
      <c r="O58" s="879"/>
      <c r="P58" s="558" t="str">
        <f>IF(Contents!$B$2=2,"Yes","Да")</f>
        <v>Yes</v>
      </c>
      <c r="Q58" s="164"/>
      <c r="R58" s="39"/>
      <c r="S58" s="39"/>
      <c r="T58" s="39"/>
      <c r="U58" s="39"/>
      <c r="W58" s="933">
        <v>1</v>
      </c>
      <c r="Y58" s="595"/>
    </row>
    <row r="59" spans="1:25" ht="22.5" hidden="1" customHeight="1" outlineLevel="1">
      <c r="A59" s="167"/>
      <c r="B59" s="368" t="str">
        <f>IF(Contents!$B$2=2,"Republic of Mari El","Республика Марий Эл")</f>
        <v>Republic of Mari El</v>
      </c>
      <c r="C59" s="53" t="str">
        <f>IF(Contents!$B$2=2,"people"," человек")</f>
        <v>people</v>
      </c>
      <c r="D59" s="90">
        <v>0</v>
      </c>
      <c r="E59" s="90">
        <v>0</v>
      </c>
      <c r="F59" s="90">
        <v>0</v>
      </c>
      <c r="G59" s="90">
        <v>0</v>
      </c>
      <c r="H59" s="90">
        <v>0</v>
      </c>
      <c r="I59" s="91">
        <v>1</v>
      </c>
      <c r="J59" s="91">
        <v>0</v>
      </c>
      <c r="K59" s="91">
        <v>0</v>
      </c>
      <c r="L59" s="91">
        <v>0</v>
      </c>
      <c r="M59" s="91">
        <v>0</v>
      </c>
      <c r="N59" s="89">
        <v>0</v>
      </c>
      <c r="O59" s="879"/>
      <c r="P59" s="558" t="str">
        <f>IF(Contents!$B$2=2,"Yes","Да")</f>
        <v>Yes</v>
      </c>
      <c r="Q59" s="164"/>
      <c r="R59" s="39"/>
      <c r="S59" s="39"/>
      <c r="T59" s="39"/>
      <c r="U59" s="39"/>
      <c r="W59" s="933">
        <v>1</v>
      </c>
      <c r="Y59" s="595"/>
    </row>
    <row r="60" spans="1:25" ht="22.5" hidden="1" customHeight="1" outlineLevel="1">
      <c r="B60" s="368" t="str">
        <f>IF(Contents!$B$2=2,"Chuvash Republic","Чувашская республика")</f>
        <v>Chuvash Republic</v>
      </c>
      <c r="C60" s="53" t="str">
        <f>IF(Contents!$B$2=2,"people"," человек")</f>
        <v>people</v>
      </c>
      <c r="D60" s="46" t="s">
        <v>185</v>
      </c>
      <c r="E60" s="46" t="s">
        <v>185</v>
      </c>
      <c r="F60" s="90" t="s">
        <v>185</v>
      </c>
      <c r="G60" s="90" t="s">
        <v>185</v>
      </c>
      <c r="H60" s="90" t="s">
        <v>185</v>
      </c>
      <c r="I60" s="46" t="s">
        <v>185</v>
      </c>
      <c r="J60" s="46" t="s">
        <v>185</v>
      </c>
      <c r="K60" s="46" t="s">
        <v>185</v>
      </c>
      <c r="L60" s="46" t="s">
        <v>185</v>
      </c>
      <c r="M60" s="46" t="s">
        <v>185</v>
      </c>
      <c r="N60" s="89">
        <v>9</v>
      </c>
      <c r="O60" s="879"/>
      <c r="P60" s="558" t="str">
        <f>IF(Contents!$B$2=2,"No","Нет")</f>
        <v>No</v>
      </c>
      <c r="Q60" s="164"/>
      <c r="R60" s="39"/>
      <c r="S60" s="39"/>
      <c r="T60" s="39"/>
      <c r="U60" s="39"/>
      <c r="W60" s="933">
        <v>1</v>
      </c>
      <c r="Y60" s="595"/>
    </row>
    <row r="61" spans="1:25" ht="22.5" customHeight="1" collapsed="1">
      <c r="A61" s="167"/>
      <c r="B61" s="78" t="str">
        <f>IF(Contents!$B$2=2,"Other countries","Прочие страны")</f>
        <v>Other countries</v>
      </c>
      <c r="C61" s="53" t="str">
        <f>IF(Contents!$B$2=2,"people"," человек")</f>
        <v>people</v>
      </c>
      <c r="D61" s="90">
        <v>101</v>
      </c>
      <c r="E61" s="90">
        <v>109</v>
      </c>
      <c r="F61" s="90">
        <v>134</v>
      </c>
      <c r="G61" s="90">
        <v>162</v>
      </c>
      <c r="H61" s="90">
        <v>206</v>
      </c>
      <c r="I61" s="91">
        <v>233</v>
      </c>
      <c r="J61" s="91">
        <v>265</v>
      </c>
      <c r="K61" s="91">
        <v>122</v>
      </c>
      <c r="L61" s="91">
        <v>131</v>
      </c>
      <c r="M61" s="91">
        <v>159</v>
      </c>
      <c r="N61" s="89">
        <v>165</v>
      </c>
      <c r="O61" s="879"/>
      <c r="P61" s="558" t="str">
        <f>IF(Contents!$B$2=2,"Yes","Да")</f>
        <v>Yes</v>
      </c>
      <c r="Q61" s="164"/>
      <c r="R61" s="39"/>
      <c r="S61" s="39"/>
      <c r="T61" s="39"/>
      <c r="U61" s="39"/>
      <c r="W61" s="933">
        <v>1</v>
      </c>
      <c r="Y61" s="595"/>
    </row>
    <row r="62" spans="1:25" ht="22.5" customHeight="1">
      <c r="B62" s="23" t="str">
        <f>IF(Contents!$B$2=2,"by line of work","по виду деятельности")</f>
        <v>by line of work</v>
      </c>
      <c r="C62" s="77"/>
      <c r="D62" s="111"/>
      <c r="E62" s="111"/>
      <c r="F62" s="111"/>
      <c r="G62" s="111"/>
      <c r="H62" s="111"/>
      <c r="I62" s="85"/>
      <c r="J62" s="111"/>
      <c r="K62" s="111"/>
      <c r="L62" s="111"/>
      <c r="M62" s="111"/>
      <c r="N62" s="111"/>
      <c r="O62" s="37"/>
      <c r="P62" s="39"/>
      <c r="Q62" s="164"/>
      <c r="R62" s="39" t="s">
        <v>125</v>
      </c>
      <c r="S62" s="39"/>
      <c r="T62" s="39"/>
      <c r="U62" s="39"/>
      <c r="Y62" s="595"/>
    </row>
    <row r="63" spans="1:25" ht="22.5" customHeight="1">
      <c r="B63" s="78" t="str">
        <f>IF(Contents!$B$2=2,"Exploration and production (incl. LNG)","Разведка и добыча (в т.ч. СПГ)")</f>
        <v>Exploration and production (incl. LNG)</v>
      </c>
      <c r="C63" s="53" t="s">
        <v>0</v>
      </c>
      <c r="D63" s="81">
        <v>59</v>
      </c>
      <c r="E63" s="81">
        <v>58</v>
      </c>
      <c r="F63" s="81">
        <v>57</v>
      </c>
      <c r="G63" s="81">
        <v>58</v>
      </c>
      <c r="H63" s="81">
        <v>59</v>
      </c>
      <c r="I63" s="82">
        <v>59</v>
      </c>
      <c r="J63" s="82">
        <v>58</v>
      </c>
      <c r="K63" s="82">
        <v>58</v>
      </c>
      <c r="L63" s="82">
        <v>59</v>
      </c>
      <c r="M63" s="82">
        <v>58</v>
      </c>
      <c r="N63" s="89">
        <v>53</v>
      </c>
      <c r="O63" s="879"/>
      <c r="P63" s="558" t="str">
        <f>IF(Contents!$B$2=2,"Yes","Да")</f>
        <v>Yes</v>
      </c>
      <c r="Q63" s="164"/>
      <c r="R63" s="39"/>
      <c r="S63" s="39"/>
      <c r="T63" s="39"/>
      <c r="U63" s="39"/>
      <c r="W63" s="933">
        <v>1</v>
      </c>
      <c r="Y63" s="595"/>
    </row>
    <row r="64" spans="1:25" ht="22.5" customHeight="1">
      <c r="B64" s="78" t="str">
        <f>IF(Contents!$B$2=2,"Marketing and transportation","Реализация и транспортировка")</f>
        <v>Marketing and transportation</v>
      </c>
      <c r="C64" s="53" t="s">
        <v>0</v>
      </c>
      <c r="D64" s="81">
        <v>19</v>
      </c>
      <c r="E64" s="81">
        <v>20</v>
      </c>
      <c r="F64" s="81">
        <v>19</v>
      </c>
      <c r="G64" s="81">
        <v>18</v>
      </c>
      <c r="H64" s="81">
        <v>18</v>
      </c>
      <c r="I64" s="82">
        <v>17</v>
      </c>
      <c r="J64" s="82">
        <v>18</v>
      </c>
      <c r="K64" s="82">
        <v>17</v>
      </c>
      <c r="L64" s="82">
        <v>16</v>
      </c>
      <c r="M64" s="82">
        <v>16</v>
      </c>
      <c r="N64" s="89">
        <v>15</v>
      </c>
      <c r="O64" s="879"/>
      <c r="P64" s="558" t="str">
        <f>IF(Contents!$B$2=2,"Yes","Да")</f>
        <v>Yes</v>
      </c>
      <c r="Q64" s="164"/>
      <c r="R64" s="39"/>
      <c r="S64" s="39"/>
      <c r="T64" s="39"/>
      <c r="U64" s="39"/>
      <c r="W64" s="933">
        <v>1</v>
      </c>
      <c r="Y64" s="595"/>
    </row>
    <row r="65" spans="2:25" ht="22.5" customHeight="1">
      <c r="B65" s="78" t="str">
        <f>IF(Contents!$B$2=2,"Processing","Переработка")</f>
        <v>Processing</v>
      </c>
      <c r="C65" s="53" t="s">
        <v>0</v>
      </c>
      <c r="D65" s="81">
        <v>12</v>
      </c>
      <c r="E65" s="81">
        <v>11</v>
      </c>
      <c r="F65" s="81">
        <v>11</v>
      </c>
      <c r="G65" s="81">
        <v>11</v>
      </c>
      <c r="H65" s="81">
        <v>9</v>
      </c>
      <c r="I65" s="82">
        <v>8</v>
      </c>
      <c r="J65" s="82">
        <v>8</v>
      </c>
      <c r="K65" s="82">
        <v>8</v>
      </c>
      <c r="L65" s="82">
        <v>8</v>
      </c>
      <c r="M65" s="82">
        <v>7</v>
      </c>
      <c r="N65" s="89">
        <v>7</v>
      </c>
      <c r="O65" s="879"/>
      <c r="P65" s="558" t="str">
        <f>IF(Contents!$B$2=2,"Yes","Да")</f>
        <v>Yes</v>
      </c>
      <c r="Q65" s="164"/>
      <c r="R65" s="39"/>
      <c r="S65" s="39"/>
      <c r="T65" s="39"/>
      <c r="U65" s="39"/>
      <c r="W65" s="933">
        <v>1</v>
      </c>
      <c r="Y65" s="595"/>
    </row>
    <row r="66" spans="2:25" ht="22.5" customHeight="1">
      <c r="B66" s="78" t="str">
        <f>IF(Contents!$B$2=2,"Administrative personnel","Административный персонал")</f>
        <v>Administrative personnel</v>
      </c>
      <c r="C66" s="53" t="s">
        <v>0</v>
      </c>
      <c r="D66" s="81">
        <v>6</v>
      </c>
      <c r="E66" s="81">
        <v>6</v>
      </c>
      <c r="F66" s="81">
        <v>7</v>
      </c>
      <c r="G66" s="81">
        <v>7</v>
      </c>
      <c r="H66" s="81">
        <v>6</v>
      </c>
      <c r="I66" s="82">
        <v>6</v>
      </c>
      <c r="J66" s="82">
        <v>6</v>
      </c>
      <c r="K66" s="82">
        <v>6</v>
      </c>
      <c r="L66" s="82">
        <v>6</v>
      </c>
      <c r="M66" s="82">
        <v>6</v>
      </c>
      <c r="N66" s="89">
        <v>6</v>
      </c>
      <c r="O66" s="879"/>
      <c r="P66" s="558" t="str">
        <f>IF(Contents!$B$2=2,"Yes","Да")</f>
        <v>Yes</v>
      </c>
      <c r="Q66" s="164"/>
      <c r="R66" s="39"/>
      <c r="S66" s="39"/>
      <c r="T66" s="39"/>
      <c r="U66" s="39"/>
      <c r="W66" s="933">
        <v>1</v>
      </c>
      <c r="Y66" s="595"/>
    </row>
    <row r="67" spans="2:25" ht="22.5" customHeight="1">
      <c r="B67" s="78" t="str">
        <f>IF(Contents!$B$2=2,"Power supply","Энергообеспечение")</f>
        <v>Power supply</v>
      </c>
      <c r="C67" s="53" t="s">
        <v>0</v>
      </c>
      <c r="D67" s="81">
        <v>0</v>
      </c>
      <c r="E67" s="81">
        <v>4</v>
      </c>
      <c r="F67" s="81">
        <v>5</v>
      </c>
      <c r="G67" s="81">
        <v>5</v>
      </c>
      <c r="H67" s="81">
        <v>6</v>
      </c>
      <c r="I67" s="82">
        <v>7</v>
      </c>
      <c r="J67" s="82">
        <v>7</v>
      </c>
      <c r="K67" s="82">
        <v>8</v>
      </c>
      <c r="L67" s="82">
        <v>8</v>
      </c>
      <c r="M67" s="82">
        <v>9</v>
      </c>
      <c r="N67" s="89">
        <v>9</v>
      </c>
      <c r="O67" s="879"/>
      <c r="P67" s="558" t="str">
        <f>IF(Contents!$B$2=2,"Yes","Да")</f>
        <v>Yes</v>
      </c>
      <c r="Q67" s="164"/>
      <c r="R67" s="39"/>
      <c r="S67" s="39"/>
      <c r="T67" s="39"/>
      <c r="U67" s="39"/>
      <c r="W67" s="933">
        <v>1</v>
      </c>
      <c r="Y67" s="595"/>
    </row>
    <row r="68" spans="2:25" ht="22.5" customHeight="1">
      <c r="B68" s="78" t="str">
        <f>IF(Contents!$B$2=2,"Auxiliary services","Вспомогательное производство")</f>
        <v>Auxiliary services</v>
      </c>
      <c r="C68" s="53" t="s">
        <v>0</v>
      </c>
      <c r="D68" s="81">
        <v>4</v>
      </c>
      <c r="E68" s="81">
        <v>1</v>
      </c>
      <c r="F68" s="81">
        <v>1</v>
      </c>
      <c r="G68" s="81">
        <v>1</v>
      </c>
      <c r="H68" s="81">
        <v>2</v>
      </c>
      <c r="I68" s="82">
        <v>3</v>
      </c>
      <c r="J68" s="82">
        <v>3</v>
      </c>
      <c r="K68" s="82">
        <v>3</v>
      </c>
      <c r="L68" s="82">
        <v>3</v>
      </c>
      <c r="M68" s="82">
        <v>4</v>
      </c>
      <c r="N68" s="89">
        <v>10</v>
      </c>
      <c r="O68" s="879"/>
      <c r="P68" s="558" t="str">
        <f>IF(Contents!$B$2=2,"Yes","Да")</f>
        <v>Yes</v>
      </c>
      <c r="Q68" s="164"/>
      <c r="R68" s="39"/>
      <c r="S68" s="39"/>
      <c r="T68" s="39"/>
      <c r="U68" s="39"/>
      <c r="V68" s="597"/>
      <c r="W68" s="933">
        <v>1</v>
      </c>
      <c r="X68" s="597"/>
      <c r="Y68" s="595"/>
    </row>
    <row r="69" spans="2:25" ht="22.5" customHeight="1">
      <c r="B69" s="78"/>
      <c r="C69" s="53"/>
      <c r="D69" s="46"/>
      <c r="E69" s="46"/>
      <c r="F69" s="46"/>
      <c r="G69" s="46"/>
      <c r="H69" s="46"/>
      <c r="I69" s="38"/>
      <c r="J69" s="38"/>
      <c r="K69" s="369">
        <f>SUM(K31:K35)</f>
        <v>19448</v>
      </c>
      <c r="L69" s="38"/>
      <c r="M69" s="38"/>
      <c r="N69" s="38"/>
      <c r="O69" s="29"/>
      <c r="P69" s="39"/>
      <c r="Q69" s="29"/>
      <c r="R69" s="681"/>
      <c r="S69" s="39"/>
      <c r="T69" s="39"/>
      <c r="U69" s="39"/>
      <c r="V69" s="597"/>
      <c r="W69" s="934"/>
      <c r="X69" s="597"/>
      <c r="Y69" s="595"/>
    </row>
    <row r="70" spans="2:25" ht="20.100000000000001" customHeight="1">
      <c r="B70" s="25" t="str">
        <f>IF(Contents!$B$2=2,"Notes:","Примечания: ")</f>
        <v>Notes:</v>
      </c>
      <c r="C70" s="61"/>
      <c r="D70" s="108"/>
      <c r="E70" s="108"/>
      <c r="F70" s="108"/>
      <c r="G70" s="108"/>
      <c r="H70" s="108"/>
      <c r="I70" s="108"/>
      <c r="J70" s="108"/>
      <c r="K70" s="108"/>
      <c r="L70" s="108"/>
      <c r="M70" s="108"/>
      <c r="N70" s="109"/>
      <c r="O70" s="38"/>
      <c r="P70" s="558"/>
      <c r="Q70" s="38"/>
      <c r="R70" s="39"/>
      <c r="S70" s="39"/>
      <c r="T70" s="39"/>
      <c r="U70" s="39"/>
    </row>
    <row r="71" spans="2:25" ht="20.45" customHeight="1">
      <c r="B71" s="65" t="str">
        <f>IF(Contents!$B$2=2,"Since 2022, senior managers and middle managers are combined and summed up according to this indicator. Until 2021, there was a breakdown by senior and middle managers.","С 2022 года руководители высшего звена и руководители среднего звена объединяются и суммируются по данному показателю. До 2021 года была разбивка по руководителям высшего и среднего звеньев.")</f>
        <v>Since 2022, senior managers and middle managers are combined and summed up according to this indicator. Until 2021, there was a breakdown by senior and middle managers.</v>
      </c>
      <c r="C71" s="301"/>
      <c r="D71" s="370"/>
      <c r="E71" s="370"/>
      <c r="F71" s="370"/>
      <c r="G71" s="370"/>
      <c r="H71" s="370"/>
      <c r="I71" s="370"/>
      <c r="J71" s="370"/>
      <c r="K71" s="370"/>
      <c r="L71" s="370"/>
      <c r="M71" s="370"/>
      <c r="N71" s="370"/>
      <c r="O71" s="29"/>
      <c r="P71" s="558"/>
      <c r="Q71" s="29"/>
      <c r="R71" s="39"/>
      <c r="S71" s="39"/>
      <c r="T71" s="39"/>
      <c r="U71" s="39"/>
    </row>
    <row r="72" spans="2:25">
      <c r="B72" s="65"/>
      <c r="C72" s="301"/>
      <c r="D72" s="370"/>
      <c r="E72" s="370"/>
      <c r="F72" s="370"/>
      <c r="G72" s="370"/>
      <c r="H72" s="370"/>
      <c r="I72" s="370"/>
      <c r="J72" s="370"/>
      <c r="K72" s="370"/>
      <c r="L72" s="370"/>
      <c r="M72" s="370"/>
      <c r="N72" s="370"/>
      <c r="O72" s="29"/>
      <c r="P72" s="558"/>
      <c r="Q72" s="29"/>
      <c r="R72" s="39"/>
      <c r="S72" s="39"/>
      <c r="T72" s="39"/>
      <c r="U72" s="39"/>
    </row>
    <row r="73" spans="2:25" ht="34.5" customHeight="1">
      <c r="B73" s="371" t="str">
        <f>IF(Contents!$B$2=2,"Average headcount","Среднесписочная численность работников")</f>
        <v>Average headcount</v>
      </c>
      <c r="C73" s="49" t="str">
        <f>IF(Contents!$B$2=2,"people"," человек")</f>
        <v>people</v>
      </c>
      <c r="D73" s="372" t="s">
        <v>185</v>
      </c>
      <c r="E73" s="372" t="s">
        <v>185</v>
      </c>
      <c r="F73" s="372">
        <v>11660.1</v>
      </c>
      <c r="G73" s="372">
        <v>13036</v>
      </c>
      <c r="H73" s="372">
        <v>14311</v>
      </c>
      <c r="I73" s="372">
        <v>15914</v>
      </c>
      <c r="J73" s="372">
        <v>17366</v>
      </c>
      <c r="K73" s="372">
        <v>18731</v>
      </c>
      <c r="L73" s="372">
        <v>19846</v>
      </c>
      <c r="M73" s="372">
        <v>21157</v>
      </c>
      <c r="N73" s="372">
        <v>22623.015365130574</v>
      </c>
      <c r="O73" s="879"/>
      <c r="P73" s="558"/>
      <c r="Q73" s="29"/>
      <c r="R73" s="39" t="s">
        <v>122</v>
      </c>
      <c r="S73" s="39"/>
      <c r="T73" s="39"/>
      <c r="U73" s="39" t="str">
        <f>IF(Contents!$B$2=2,"PBCS 21","СОКБ 21")</f>
        <v>PBCS 21</v>
      </c>
      <c r="W73" s="933">
        <v>1</v>
      </c>
      <c r="X73" s="558"/>
      <c r="Y73" s="595"/>
    </row>
    <row r="74" spans="2:25" ht="22.5" customHeight="1">
      <c r="B74" s="364" t="str">
        <f>IF(Contents!$B$2=2,"by gender","по полу")</f>
        <v>by gender</v>
      </c>
      <c r="C74" s="77"/>
      <c r="D74" s="111"/>
      <c r="E74" s="111"/>
      <c r="F74" s="111"/>
      <c r="G74" s="111"/>
      <c r="H74" s="111"/>
      <c r="I74" s="111"/>
      <c r="J74" s="111"/>
      <c r="K74" s="111"/>
      <c r="L74" s="111"/>
      <c r="M74" s="111"/>
      <c r="N74" s="111"/>
      <c r="O74" s="37"/>
      <c r="P74" s="558"/>
      <c r="Q74" s="29"/>
      <c r="R74" s="39"/>
      <c r="S74" s="39"/>
      <c r="T74" s="39"/>
      <c r="U74" s="39"/>
      <c r="Y74" s="595"/>
    </row>
    <row r="75" spans="2:25" ht="22.5" customHeight="1">
      <c r="B75" s="93" t="str">
        <f>IF(Contents!$B$2=2,"Male","Мужчины")</f>
        <v>Male</v>
      </c>
      <c r="C75" s="53" t="str">
        <f>IF(Contents!$B$2=2,"people"," человек")</f>
        <v>people</v>
      </c>
      <c r="D75" s="46" t="s">
        <v>185</v>
      </c>
      <c r="E75" s="46" t="s">
        <v>185</v>
      </c>
      <c r="F75" s="46">
        <v>8958</v>
      </c>
      <c r="G75" s="46">
        <v>10102</v>
      </c>
      <c r="H75" s="46">
        <v>11145</v>
      </c>
      <c r="I75" s="46">
        <v>12440</v>
      </c>
      <c r="J75" s="46">
        <v>13714</v>
      </c>
      <c r="K75" s="38">
        <v>14893</v>
      </c>
      <c r="L75" s="38">
        <v>15828</v>
      </c>
      <c r="M75" s="38">
        <v>17014</v>
      </c>
      <c r="N75" s="89">
        <v>18410.280899180754</v>
      </c>
      <c r="O75" s="879"/>
      <c r="P75" s="558"/>
      <c r="Q75" s="29"/>
      <c r="R75" s="39"/>
      <c r="S75" s="39"/>
      <c r="T75" s="39"/>
      <c r="U75" s="39"/>
      <c r="W75" s="933">
        <v>1</v>
      </c>
      <c r="Y75" s="595"/>
    </row>
    <row r="76" spans="2:25" ht="22.5" customHeight="1">
      <c r="B76" s="93" t="str">
        <f>IF(Contents!$B$2=2,"Female","Женщины")</f>
        <v>Female</v>
      </c>
      <c r="C76" s="53" t="str">
        <f>IF(Contents!$B$2=2,"people"," человек")</f>
        <v>people</v>
      </c>
      <c r="D76" s="46" t="s">
        <v>185</v>
      </c>
      <c r="E76" s="46" t="s">
        <v>185</v>
      </c>
      <c r="F76" s="46">
        <v>2702.1</v>
      </c>
      <c r="G76" s="46">
        <v>2934</v>
      </c>
      <c r="H76" s="46">
        <v>3166</v>
      </c>
      <c r="I76" s="46">
        <v>3474</v>
      </c>
      <c r="J76" s="46">
        <v>3652</v>
      </c>
      <c r="K76" s="38">
        <v>3838</v>
      </c>
      <c r="L76" s="38">
        <v>4018</v>
      </c>
      <c r="M76" s="38">
        <v>4143</v>
      </c>
      <c r="N76" s="89">
        <v>4212.7344659498212</v>
      </c>
      <c r="O76" s="879"/>
      <c r="P76" s="558"/>
      <c r="Q76" s="29"/>
      <c r="R76" s="39"/>
      <c r="S76" s="39"/>
      <c r="T76" s="39"/>
      <c r="U76" s="39"/>
      <c r="W76" s="933">
        <v>1</v>
      </c>
      <c r="Y76" s="595"/>
    </row>
    <row r="77" spans="2:25" ht="22.5" customHeight="1">
      <c r="B77" s="23" t="str">
        <f>IF(Contents!$B$2=2,"by region","по региону")</f>
        <v>by region</v>
      </c>
      <c r="C77" s="77"/>
      <c r="D77" s="111"/>
      <c r="E77" s="111"/>
      <c r="F77" s="111"/>
      <c r="G77" s="111"/>
      <c r="H77" s="111"/>
      <c r="I77" s="366"/>
      <c r="J77" s="111"/>
      <c r="K77" s="111"/>
      <c r="L77" s="111"/>
      <c r="M77" s="111"/>
      <c r="N77" s="111"/>
      <c r="O77" s="37"/>
      <c r="P77" s="558"/>
      <c r="Q77" s="29"/>
      <c r="R77" s="39"/>
      <c r="S77" s="39"/>
      <c r="T77" s="39"/>
      <c r="U77" s="39"/>
      <c r="Y77" s="595"/>
    </row>
    <row r="78" spans="2:25" ht="22.5" customHeight="1">
      <c r="B78" s="177" t="str">
        <f>IF(Contents!$B$2=2,"Russian Federation","Российская Федерация")</f>
        <v>Russian Federation</v>
      </c>
      <c r="C78" s="53" t="str">
        <f>IF(Contents!$B$2=2,"people"," человек")</f>
        <v>people</v>
      </c>
      <c r="D78" s="46" t="s">
        <v>185</v>
      </c>
      <c r="E78" s="46" t="s">
        <v>185</v>
      </c>
      <c r="F78" s="46">
        <v>11545.3</v>
      </c>
      <c r="G78" s="46">
        <v>12893</v>
      </c>
      <c r="H78" s="46">
        <v>14131</v>
      </c>
      <c r="I78" s="46">
        <v>15706</v>
      </c>
      <c r="J78" s="46">
        <v>17127</v>
      </c>
      <c r="K78" s="46">
        <v>18559</v>
      </c>
      <c r="L78" s="46">
        <v>19718</v>
      </c>
      <c r="M78" s="46">
        <v>21006</v>
      </c>
      <c r="N78" s="104">
        <v>22458.154310547874</v>
      </c>
      <c r="O78" s="38"/>
      <c r="P78" s="558"/>
      <c r="Q78" s="29"/>
      <c r="R78" s="39"/>
      <c r="S78" s="39"/>
      <c r="T78" s="39"/>
      <c r="U78" s="39"/>
      <c r="W78" s="933">
        <v>1</v>
      </c>
      <c r="Y78" s="595"/>
    </row>
    <row r="79" spans="2:25" ht="22.5" customHeight="1">
      <c r="B79" s="207" t="str">
        <f>IF(Contents!$B$2=2,"Yamal-Nenets Autonomous Region","Ямало-Ненецкий автономный округ")</f>
        <v>Yamal-Nenets Autonomous Region</v>
      </c>
      <c r="C79" s="53" t="str">
        <f>IF(Contents!$B$2=2,"people"," человек")</f>
        <v>people</v>
      </c>
      <c r="D79" s="46" t="s">
        <v>185</v>
      </c>
      <c r="E79" s="46" t="s">
        <v>185</v>
      </c>
      <c r="F79" s="46">
        <v>7587.7</v>
      </c>
      <c r="G79" s="46">
        <v>8543</v>
      </c>
      <c r="H79" s="46">
        <v>9131</v>
      </c>
      <c r="I79" s="46">
        <v>9826</v>
      </c>
      <c r="J79" s="46">
        <v>10525</v>
      </c>
      <c r="K79" s="38">
        <v>11184</v>
      </c>
      <c r="L79" s="38">
        <v>11815</v>
      </c>
      <c r="M79" s="38">
        <v>12747</v>
      </c>
      <c r="N79" s="89">
        <v>13919.633400000001</v>
      </c>
      <c r="O79" s="38"/>
      <c r="P79" s="558"/>
      <c r="Q79" s="29"/>
      <c r="R79" s="39"/>
      <c r="S79" s="39"/>
      <c r="T79" s="39"/>
      <c r="U79" s="39"/>
      <c r="W79" s="933">
        <v>1</v>
      </c>
      <c r="Y79" s="595"/>
    </row>
    <row r="80" spans="2:25" ht="22.5" customHeight="1">
      <c r="B80" s="207" t="str">
        <f>IF(Contents!$B$2=2,"Moscow and Moscow Region","Москва и Московская область")</f>
        <v>Moscow and Moscow Region</v>
      </c>
      <c r="C80" s="53" t="str">
        <f>IF(Contents!$B$2=2,"people"," человек")</f>
        <v>people</v>
      </c>
      <c r="D80" s="46" t="s">
        <v>185</v>
      </c>
      <c r="E80" s="46" t="s">
        <v>185</v>
      </c>
      <c r="F80" s="46">
        <v>1572.1</v>
      </c>
      <c r="G80" s="46">
        <v>1616</v>
      </c>
      <c r="H80" s="46">
        <v>1856</v>
      </c>
      <c r="I80" s="46">
        <v>2186</v>
      </c>
      <c r="J80" s="46">
        <v>2429</v>
      </c>
      <c r="K80" s="38">
        <v>2547</v>
      </c>
      <c r="L80" s="38">
        <v>2725</v>
      </c>
      <c r="M80" s="38">
        <v>2806</v>
      </c>
      <c r="N80" s="89">
        <v>2878.3989999999999</v>
      </c>
      <c r="O80" s="38"/>
      <c r="P80" s="558"/>
      <c r="Q80" s="29"/>
      <c r="R80" s="39"/>
      <c r="S80" s="39"/>
      <c r="T80" s="39"/>
      <c r="U80" s="39"/>
      <c r="W80" s="933">
        <v>1</v>
      </c>
      <c r="Y80" s="595"/>
    </row>
    <row r="81" spans="2:25" ht="22.5" customHeight="1">
      <c r="B81" s="207" t="str">
        <f>IF(Contents!$B$2=2,"Chelyabinsk Region","Челябинская область")</f>
        <v>Chelyabinsk Region</v>
      </c>
      <c r="C81" s="53" t="str">
        <f>IF(Contents!$B$2=2,"people"," человек")</f>
        <v>people</v>
      </c>
      <c r="D81" s="46" t="s">
        <v>185</v>
      </c>
      <c r="E81" s="46" t="s">
        <v>185</v>
      </c>
      <c r="F81" s="46">
        <v>880</v>
      </c>
      <c r="G81" s="46">
        <v>917</v>
      </c>
      <c r="H81" s="46">
        <v>1051</v>
      </c>
      <c r="I81" s="46">
        <v>1211</v>
      </c>
      <c r="J81" s="46">
        <v>1242</v>
      </c>
      <c r="K81" s="38">
        <v>1227</v>
      </c>
      <c r="L81" s="38">
        <v>1192</v>
      </c>
      <c r="M81" s="38">
        <v>1177</v>
      </c>
      <c r="N81" s="89">
        <v>1243.8282999999997</v>
      </c>
      <c r="O81" s="38"/>
      <c r="P81" s="558"/>
      <c r="Q81" s="29"/>
      <c r="R81" s="39"/>
      <c r="S81" s="39"/>
      <c r="T81" s="39"/>
      <c r="U81" s="39"/>
      <c r="W81" s="933">
        <v>1</v>
      </c>
      <c r="Y81" s="595"/>
    </row>
    <row r="82" spans="2:25" ht="22.5" customHeight="1">
      <c r="B82" s="207" t="str">
        <f>IF(Contents!$B$2=2,"St. Petersburg and Leningrad Region","Санкт-Петербург и Ленинградская область")</f>
        <v>St. Petersburg and Leningrad Region</v>
      </c>
      <c r="C82" s="53" t="str">
        <f>IF(Contents!$B$2=2,"people"," человек")</f>
        <v>people</v>
      </c>
      <c r="D82" s="46" t="s">
        <v>185</v>
      </c>
      <c r="E82" s="46" t="s">
        <v>185</v>
      </c>
      <c r="F82" s="46">
        <v>575.9</v>
      </c>
      <c r="G82" s="46">
        <v>713</v>
      </c>
      <c r="H82" s="46">
        <v>826</v>
      </c>
      <c r="I82" s="46">
        <v>930</v>
      </c>
      <c r="J82" s="46">
        <v>1020</v>
      </c>
      <c r="K82" s="38">
        <v>1168</v>
      </c>
      <c r="L82" s="38">
        <v>1265</v>
      </c>
      <c r="M82" s="38">
        <v>1335</v>
      </c>
      <c r="N82" s="89">
        <v>1422.7996000000001</v>
      </c>
      <c r="O82" s="38"/>
      <c r="P82" s="558"/>
      <c r="Q82" s="29"/>
      <c r="R82" s="39"/>
      <c r="S82" s="39"/>
      <c r="T82" s="39"/>
      <c r="U82" s="39"/>
      <c r="W82" s="933">
        <v>1</v>
      </c>
      <c r="Y82" s="595"/>
    </row>
    <row r="83" spans="2:25" ht="22.5" customHeight="1">
      <c r="B83" s="285" t="str">
        <f>IF(Contents!$B$2=2,"Other regions","Прочие регионы")</f>
        <v>Other regions</v>
      </c>
      <c r="C83" s="53" t="str">
        <f>IF(Contents!$B$2=2,"people"," человек")</f>
        <v>people</v>
      </c>
      <c r="D83" s="46" t="s">
        <v>185</v>
      </c>
      <c r="E83" s="46" t="s">
        <v>185</v>
      </c>
      <c r="F83" s="38">
        <v>929.59999999999991</v>
      </c>
      <c r="G83" s="38">
        <v>1104</v>
      </c>
      <c r="H83" s="38">
        <v>1267</v>
      </c>
      <c r="I83" s="38">
        <v>1553</v>
      </c>
      <c r="J83" s="38">
        <v>1911</v>
      </c>
      <c r="K83" s="38">
        <v>2433</v>
      </c>
      <c r="L83" s="38">
        <v>2721</v>
      </c>
      <c r="M83" s="38">
        <v>2941</v>
      </c>
      <c r="N83" s="89">
        <v>2993.494010547875</v>
      </c>
      <c r="O83" s="38"/>
      <c r="P83" s="558"/>
      <c r="Q83" s="29"/>
      <c r="R83" s="39"/>
      <c r="S83" s="39"/>
      <c r="T83" s="39"/>
      <c r="U83" s="39"/>
      <c r="W83" s="933">
        <v>1</v>
      </c>
      <c r="Y83" s="595"/>
    </row>
    <row r="84" spans="2:25" ht="22.5" hidden="1" customHeight="1" outlineLevel="1">
      <c r="B84" s="367" t="str">
        <f>IF(Contents!$B$2=2,"Tyumen Region","Тюменская область")</f>
        <v>Tyumen Region</v>
      </c>
      <c r="C84" s="53" t="str">
        <f>IF(Contents!$B$2=2,"people"," человек")</f>
        <v>people</v>
      </c>
      <c r="D84" s="46" t="s">
        <v>185</v>
      </c>
      <c r="E84" s="46" t="s">
        <v>185</v>
      </c>
      <c r="F84" s="46">
        <v>226</v>
      </c>
      <c r="G84" s="46">
        <v>261</v>
      </c>
      <c r="H84" s="46">
        <v>369</v>
      </c>
      <c r="I84" s="46">
        <v>491</v>
      </c>
      <c r="J84" s="46">
        <v>593</v>
      </c>
      <c r="K84" s="38">
        <v>728</v>
      </c>
      <c r="L84" s="91">
        <v>801</v>
      </c>
      <c r="M84" s="91">
        <v>875</v>
      </c>
      <c r="N84" s="89">
        <v>949.28</v>
      </c>
      <c r="O84" s="38"/>
      <c r="P84" s="558"/>
      <c r="Q84" s="29"/>
      <c r="R84" s="39"/>
      <c r="S84" s="39"/>
      <c r="T84" s="39"/>
      <c r="U84" s="39"/>
      <c r="W84" s="933">
        <v>1</v>
      </c>
      <c r="Y84" s="595"/>
    </row>
    <row r="85" spans="2:25" ht="22.5" hidden="1" customHeight="1" outlineLevel="1">
      <c r="B85" s="367" t="str">
        <f>IF(Contents!$B$2=2,"Rostov Region","Ростовская область")</f>
        <v>Rostov Region</v>
      </c>
      <c r="C85" s="53" t="str">
        <f>IF(Contents!$B$2=2,"people"," человек")</f>
        <v>people</v>
      </c>
      <c r="D85" s="46" t="s">
        <v>185</v>
      </c>
      <c r="E85" s="46" t="s">
        <v>185</v>
      </c>
      <c r="F85" s="46">
        <v>203</v>
      </c>
      <c r="G85" s="46">
        <v>201</v>
      </c>
      <c r="H85" s="46">
        <v>202</v>
      </c>
      <c r="I85" s="46">
        <v>205</v>
      </c>
      <c r="J85" s="46">
        <v>205</v>
      </c>
      <c r="K85" s="38">
        <v>205</v>
      </c>
      <c r="L85" s="91">
        <v>186</v>
      </c>
      <c r="M85" s="91">
        <v>188</v>
      </c>
      <c r="N85" s="89">
        <v>197.09030000000004</v>
      </c>
      <c r="O85" s="29"/>
      <c r="P85" s="558"/>
      <c r="Q85" s="29"/>
      <c r="R85" s="39"/>
      <c r="S85" s="39"/>
      <c r="T85" s="39"/>
      <c r="U85" s="39"/>
      <c r="W85" s="933">
        <v>1</v>
      </c>
      <c r="Y85" s="595"/>
    </row>
    <row r="86" spans="2:25" ht="22.5" hidden="1" customHeight="1" outlineLevel="1">
      <c r="B86" s="367" t="str">
        <f>IF(Contents!$B$2=2,"Kostroma Region","Костромская область")</f>
        <v>Kostroma Region</v>
      </c>
      <c r="C86" s="53" t="str">
        <f>IF(Contents!$B$2=2,"people"," человек")</f>
        <v>people</v>
      </c>
      <c r="D86" s="46" t="s">
        <v>185</v>
      </c>
      <c r="E86" s="46" t="s">
        <v>185</v>
      </c>
      <c r="F86" s="46">
        <v>182</v>
      </c>
      <c r="G86" s="46">
        <v>186</v>
      </c>
      <c r="H86" s="46">
        <v>185</v>
      </c>
      <c r="I86" s="46">
        <v>187</v>
      </c>
      <c r="J86" s="46">
        <v>190</v>
      </c>
      <c r="K86" s="38">
        <v>191</v>
      </c>
      <c r="L86" s="91">
        <v>190</v>
      </c>
      <c r="M86" s="91">
        <v>188</v>
      </c>
      <c r="N86" s="89">
        <v>192</v>
      </c>
      <c r="O86" s="29"/>
      <c r="P86" s="558"/>
      <c r="Q86" s="29"/>
      <c r="R86" s="39"/>
      <c r="S86" s="39"/>
      <c r="T86" s="39"/>
      <c r="U86" s="39"/>
      <c r="W86" s="933">
        <v>1</v>
      </c>
      <c r="Y86" s="595"/>
    </row>
    <row r="87" spans="2:25" ht="22.5" hidden="1" customHeight="1" outlineLevel="1">
      <c r="B87" s="367" t="str">
        <f>IF(Contents!$B$2=2,"Volgograd Region","Волгоградская область")</f>
        <v>Volgograd Region</v>
      </c>
      <c r="C87" s="53" t="str">
        <f>IF(Contents!$B$2=2,"people"," человек")</f>
        <v>people</v>
      </c>
      <c r="D87" s="46" t="s">
        <v>185</v>
      </c>
      <c r="E87" s="46" t="s">
        <v>185</v>
      </c>
      <c r="F87" s="46">
        <v>174</v>
      </c>
      <c r="G87" s="46">
        <v>181</v>
      </c>
      <c r="H87" s="46">
        <v>190</v>
      </c>
      <c r="I87" s="46">
        <v>192</v>
      </c>
      <c r="J87" s="46">
        <v>200</v>
      </c>
      <c r="K87" s="91">
        <v>203</v>
      </c>
      <c r="L87" s="91">
        <v>204</v>
      </c>
      <c r="M87" s="91">
        <v>197</v>
      </c>
      <c r="N87" s="89">
        <v>202.46720000000005</v>
      </c>
      <c r="O87" s="29"/>
      <c r="P87" s="558"/>
      <c r="Q87" s="29"/>
      <c r="R87" s="39"/>
      <c r="S87" s="39"/>
      <c r="T87" s="39"/>
      <c r="U87" s="39"/>
      <c r="W87" s="933">
        <v>1</v>
      </c>
      <c r="Y87" s="595"/>
    </row>
    <row r="88" spans="2:25" ht="22.5" hidden="1" customHeight="1" outlineLevel="1">
      <c r="B88" s="367" t="str">
        <f>IF(Contents!$B$2=2,"Murmansk Region","Мурманская область")</f>
        <v>Murmansk Region</v>
      </c>
      <c r="C88" s="53" t="str">
        <f>IF(Contents!$B$2=2,"people"," человек")</f>
        <v>people</v>
      </c>
      <c r="D88" s="46" t="s">
        <v>185</v>
      </c>
      <c r="E88" s="46" t="s">
        <v>185</v>
      </c>
      <c r="F88" s="46">
        <v>102.3</v>
      </c>
      <c r="G88" s="46">
        <v>155</v>
      </c>
      <c r="H88" s="46">
        <v>196</v>
      </c>
      <c r="I88" s="46">
        <v>323</v>
      </c>
      <c r="J88" s="46">
        <v>541</v>
      </c>
      <c r="K88" s="91">
        <v>886</v>
      </c>
      <c r="L88" s="91">
        <v>1072</v>
      </c>
      <c r="M88" s="91">
        <v>1071</v>
      </c>
      <c r="N88" s="89">
        <v>840.696710547875</v>
      </c>
      <c r="O88" s="29"/>
      <c r="P88" s="558"/>
      <c r="Q88" s="29"/>
      <c r="R88" s="39"/>
      <c r="S88" s="39"/>
      <c r="T88" s="39"/>
      <c r="U88" s="39"/>
      <c r="W88" s="933">
        <v>1</v>
      </c>
      <c r="Y88" s="595"/>
    </row>
    <row r="89" spans="2:25" ht="22.5" hidden="1" customHeight="1" outlineLevel="1">
      <c r="B89" s="367" t="str">
        <f>IF(Contents!$B$2=2,"Khanty-Mansiysk Autonomous Region","Ханты-Мансийский автономный округ")</f>
        <v>Khanty-Mansiysk Autonomous Region</v>
      </c>
      <c r="C89" s="53" t="str">
        <f>IF(Contents!$B$2=2,"people"," человек")</f>
        <v>people</v>
      </c>
      <c r="D89" s="46" t="s">
        <v>185</v>
      </c>
      <c r="E89" s="46" t="s">
        <v>185</v>
      </c>
      <c r="F89" s="46">
        <v>0</v>
      </c>
      <c r="G89" s="46">
        <v>74</v>
      </c>
      <c r="H89" s="46">
        <v>63</v>
      </c>
      <c r="I89" s="46">
        <v>65</v>
      </c>
      <c r="J89" s="46">
        <v>63</v>
      </c>
      <c r="K89" s="91">
        <v>63</v>
      </c>
      <c r="L89" s="91">
        <v>62</v>
      </c>
      <c r="M89" s="91">
        <v>63</v>
      </c>
      <c r="N89" s="89">
        <v>62.22</v>
      </c>
      <c r="O89" s="29"/>
      <c r="P89" s="558"/>
      <c r="Q89" s="29"/>
      <c r="R89" s="39"/>
      <c r="S89" s="39"/>
      <c r="T89" s="39"/>
      <c r="U89" s="39"/>
      <c r="W89" s="933">
        <v>1</v>
      </c>
      <c r="Y89" s="595"/>
    </row>
    <row r="90" spans="2:25" ht="22.5" hidden="1" customHeight="1" outlineLevel="1">
      <c r="B90" s="367" t="str">
        <f>IF(Contents!$B$2=2,"Perm Territory","Пермский край")</f>
        <v>Perm Territory</v>
      </c>
      <c r="C90" s="53" t="str">
        <f>IF(Contents!$B$2=2,"people"," человек")</f>
        <v>people</v>
      </c>
      <c r="D90" s="46" t="s">
        <v>185</v>
      </c>
      <c r="E90" s="46" t="s">
        <v>185</v>
      </c>
      <c r="F90" s="46">
        <v>18</v>
      </c>
      <c r="G90" s="46">
        <v>20</v>
      </c>
      <c r="H90" s="46">
        <v>21</v>
      </c>
      <c r="I90" s="46">
        <v>21</v>
      </c>
      <c r="J90" s="46">
        <v>21</v>
      </c>
      <c r="K90" s="91">
        <v>22</v>
      </c>
      <c r="L90" s="91">
        <v>21</v>
      </c>
      <c r="M90" s="91">
        <v>21</v>
      </c>
      <c r="N90" s="89">
        <v>22</v>
      </c>
      <c r="O90" s="29"/>
      <c r="P90" s="558"/>
      <c r="Q90" s="29"/>
      <c r="R90" s="39"/>
      <c r="S90" s="39"/>
      <c r="T90" s="39"/>
      <c r="U90" s="39"/>
      <c r="W90" s="933">
        <v>1</v>
      </c>
      <c r="Y90" s="595"/>
    </row>
    <row r="91" spans="2:25" ht="22.5" hidden="1" customHeight="1" outlineLevel="1">
      <c r="B91" s="367" t="str">
        <f>IF(Contents!$B$2=2,"Astrakhan Region","Астраханская область")</f>
        <v>Astrakhan Region</v>
      </c>
      <c r="C91" s="53" t="str">
        <f>IF(Contents!$B$2=2,"people"," человек")</f>
        <v>people</v>
      </c>
      <c r="D91" s="46" t="s">
        <v>185</v>
      </c>
      <c r="E91" s="46" t="s">
        <v>185</v>
      </c>
      <c r="F91" s="46">
        <v>18</v>
      </c>
      <c r="G91" s="46">
        <v>18</v>
      </c>
      <c r="H91" s="46">
        <v>19</v>
      </c>
      <c r="I91" s="46">
        <v>20</v>
      </c>
      <c r="J91" s="46">
        <v>20</v>
      </c>
      <c r="K91" s="91">
        <v>21</v>
      </c>
      <c r="L91" s="91">
        <v>21</v>
      </c>
      <c r="M91" s="91">
        <v>24</v>
      </c>
      <c r="N91" s="89">
        <v>23.6538</v>
      </c>
      <c r="O91" s="29"/>
      <c r="P91" s="558"/>
      <c r="Q91" s="29"/>
      <c r="R91" s="39"/>
      <c r="S91" s="39"/>
      <c r="T91" s="39"/>
      <c r="U91" s="39"/>
      <c r="W91" s="933">
        <v>1</v>
      </c>
      <c r="Y91" s="595"/>
    </row>
    <row r="92" spans="2:25" ht="22.5" hidden="1" customHeight="1" outlineLevel="1">
      <c r="B92" s="367" t="str">
        <f>IF(Contents!$B$2=2,"Krasnodar Territory","Краснодарский край")</f>
        <v>Krasnodar Territory</v>
      </c>
      <c r="C92" s="53" t="str">
        <f>IF(Contents!$B$2=2,"people"," человек")</f>
        <v>people</v>
      </c>
      <c r="D92" s="46" t="s">
        <v>185</v>
      </c>
      <c r="E92" s="46" t="s">
        <v>185</v>
      </c>
      <c r="F92" s="46">
        <v>0</v>
      </c>
      <c r="G92" s="46">
        <v>1</v>
      </c>
      <c r="H92" s="46">
        <v>5</v>
      </c>
      <c r="I92" s="46">
        <v>7</v>
      </c>
      <c r="J92" s="46">
        <v>6</v>
      </c>
      <c r="K92" s="91">
        <v>5</v>
      </c>
      <c r="L92" s="91">
        <v>5</v>
      </c>
      <c r="M92" s="91">
        <v>5</v>
      </c>
      <c r="N92" s="89">
        <v>0</v>
      </c>
      <c r="O92" s="29"/>
      <c r="P92" s="558"/>
      <c r="Q92" s="29"/>
      <c r="R92" s="39"/>
      <c r="S92" s="39"/>
      <c r="T92" s="39"/>
      <c r="U92" s="39"/>
      <c r="W92" s="933">
        <v>1</v>
      </c>
      <c r="Y92" s="595"/>
    </row>
    <row r="93" spans="2:25" ht="22.5" hidden="1" customHeight="1" outlineLevel="1">
      <c r="B93" s="367" t="str">
        <f>IF(Contents!$B$2=2,"Samara Region","Самарская область")</f>
        <v>Samara Region</v>
      </c>
      <c r="C93" s="53" t="str">
        <f>IF(Contents!$B$2=2,"people"," человек")</f>
        <v>people</v>
      </c>
      <c r="D93" s="46" t="s">
        <v>185</v>
      </c>
      <c r="E93" s="46" t="s">
        <v>185</v>
      </c>
      <c r="F93" s="46">
        <v>2.9</v>
      </c>
      <c r="G93" s="46">
        <v>3</v>
      </c>
      <c r="H93" s="46">
        <v>5</v>
      </c>
      <c r="I93" s="46">
        <v>6</v>
      </c>
      <c r="J93" s="46">
        <v>10</v>
      </c>
      <c r="K93" s="91">
        <v>18</v>
      </c>
      <c r="L93" s="91">
        <v>21</v>
      </c>
      <c r="M93" s="91">
        <v>34</v>
      </c>
      <c r="N93" s="89">
        <v>36.409999999999997</v>
      </c>
      <c r="O93" s="29"/>
      <c r="P93" s="558"/>
      <c r="Q93" s="29"/>
      <c r="R93" s="39"/>
      <c r="S93" s="39"/>
      <c r="T93" s="39"/>
      <c r="U93" s="39"/>
      <c r="W93" s="933">
        <v>1</v>
      </c>
      <c r="Y93" s="595"/>
    </row>
    <row r="94" spans="2:25" ht="22.5" hidden="1" customHeight="1" outlineLevel="1">
      <c r="B94" s="367" t="str">
        <f>IF(Contents!$B$2=2,"Arkhangelsk Region","Архангельская область")</f>
        <v>Arkhangelsk Region</v>
      </c>
      <c r="C94" s="53" t="str">
        <f>IF(Contents!$B$2=2,"people"," человек")</f>
        <v>people</v>
      </c>
      <c r="D94" s="46" t="s">
        <v>185</v>
      </c>
      <c r="E94" s="46" t="s">
        <v>185</v>
      </c>
      <c r="F94" s="46">
        <v>3.4</v>
      </c>
      <c r="G94" s="46">
        <v>3</v>
      </c>
      <c r="H94" s="46">
        <v>3</v>
      </c>
      <c r="I94" s="46">
        <v>3</v>
      </c>
      <c r="J94" s="46">
        <v>4</v>
      </c>
      <c r="K94" s="91">
        <v>4</v>
      </c>
      <c r="L94" s="91">
        <v>6</v>
      </c>
      <c r="M94" s="91">
        <v>6</v>
      </c>
      <c r="N94" s="89">
        <v>5.9399999999999995</v>
      </c>
      <c r="O94" s="29"/>
      <c r="P94" s="558"/>
      <c r="Q94" s="29"/>
      <c r="R94" s="39"/>
      <c r="S94" s="39"/>
      <c r="T94" s="39"/>
      <c r="U94" s="39"/>
      <c r="W94" s="933">
        <v>1</v>
      </c>
      <c r="Y94" s="595"/>
    </row>
    <row r="95" spans="2:25" ht="22.5" hidden="1" customHeight="1" outlineLevel="1">
      <c r="B95" s="367" t="str">
        <f>IF(Contents!$B$2=2,"Kamchatka Territory","Камчатский край")</f>
        <v>Kamchatka Territory</v>
      </c>
      <c r="C95" s="53" t="str">
        <f>IF(Contents!$B$2=2,"people"," человек")</f>
        <v>people</v>
      </c>
      <c r="D95" s="46" t="s">
        <v>185</v>
      </c>
      <c r="E95" s="46" t="s">
        <v>185</v>
      </c>
      <c r="F95" s="46">
        <v>0</v>
      </c>
      <c r="G95" s="46">
        <v>1</v>
      </c>
      <c r="H95" s="46">
        <v>2</v>
      </c>
      <c r="I95" s="46">
        <v>4</v>
      </c>
      <c r="J95" s="46">
        <v>9</v>
      </c>
      <c r="K95" s="91">
        <v>20</v>
      </c>
      <c r="L95" s="91">
        <v>51</v>
      </c>
      <c r="M95" s="91">
        <v>77</v>
      </c>
      <c r="N95" s="89">
        <v>101.726</v>
      </c>
      <c r="O95" s="29"/>
      <c r="P95" s="558"/>
      <c r="Q95" s="29"/>
      <c r="R95" s="39"/>
      <c r="S95" s="39"/>
      <c r="T95" s="39"/>
      <c r="U95" s="39"/>
      <c r="W95" s="933">
        <v>1</v>
      </c>
      <c r="Y95" s="595"/>
    </row>
    <row r="96" spans="2:25" ht="22.5" hidden="1" customHeight="1" outlineLevel="1">
      <c r="B96" s="367" t="str">
        <f>IF(Contents!$B$2=2,"Republic of Bashkortostan","Республика Башкортостан")</f>
        <v>Republic of Bashkortostan</v>
      </c>
      <c r="C96" s="53" t="str">
        <f>IF(Contents!$B$2=2,"people"," человек")</f>
        <v>people</v>
      </c>
      <c r="D96" s="46" t="s">
        <v>185</v>
      </c>
      <c r="E96" s="46" t="s">
        <v>185</v>
      </c>
      <c r="F96" s="46">
        <v>0</v>
      </c>
      <c r="G96" s="46" t="s">
        <v>185</v>
      </c>
      <c r="H96" s="46">
        <v>7</v>
      </c>
      <c r="I96" s="46">
        <v>15</v>
      </c>
      <c r="J96" s="46">
        <v>19</v>
      </c>
      <c r="K96" s="91">
        <v>19</v>
      </c>
      <c r="L96" s="91">
        <v>19</v>
      </c>
      <c r="M96" s="91">
        <v>22</v>
      </c>
      <c r="N96" s="89">
        <v>21</v>
      </c>
      <c r="O96" s="29"/>
      <c r="P96" s="558"/>
      <c r="Q96" s="29"/>
      <c r="R96" s="39"/>
      <c r="S96" s="39"/>
      <c r="T96" s="39"/>
      <c r="U96" s="39"/>
      <c r="W96" s="933">
        <v>1</v>
      </c>
      <c r="Y96" s="595"/>
    </row>
    <row r="97" spans="1:48" ht="22.5" hidden="1" customHeight="1" outlineLevel="1">
      <c r="B97" s="367" t="str">
        <f>IF(Contents!$B$2=2,"Novosibirsk Region","Новосибирская область")</f>
        <v>Novosibirsk Region</v>
      </c>
      <c r="C97" s="53" t="str">
        <f>IF(Contents!$B$2=2,"people"," человек")</f>
        <v>people</v>
      </c>
      <c r="D97" s="46" t="s">
        <v>185</v>
      </c>
      <c r="E97" s="46" t="s">
        <v>185</v>
      </c>
      <c r="F97" s="46">
        <v>0</v>
      </c>
      <c r="G97" s="46" t="s">
        <v>185</v>
      </c>
      <c r="H97" s="46">
        <v>0</v>
      </c>
      <c r="I97" s="46">
        <v>1</v>
      </c>
      <c r="J97" s="46">
        <v>1</v>
      </c>
      <c r="K97" s="91">
        <v>1</v>
      </c>
      <c r="L97" s="46" t="s">
        <v>185</v>
      </c>
      <c r="M97" s="46">
        <v>0</v>
      </c>
      <c r="N97" s="89">
        <v>0</v>
      </c>
      <c r="O97" s="29"/>
      <c r="P97" s="558"/>
      <c r="Q97" s="29"/>
      <c r="R97" s="39"/>
      <c r="S97" s="39"/>
      <c r="T97" s="39"/>
      <c r="U97" s="39"/>
      <c r="W97" s="933">
        <v>1</v>
      </c>
      <c r="Y97" s="595"/>
    </row>
    <row r="98" spans="1:48" ht="22.5" hidden="1" customHeight="1" outlineLevel="1">
      <c r="B98" s="367" t="str">
        <f>IF(Contents!$B$2=2,"Stavropol Territory","Ставропольский край")</f>
        <v>Stavropol Territory</v>
      </c>
      <c r="C98" s="53" t="str">
        <f>IF(Contents!$B$2=2,"people"," человек")</f>
        <v>people</v>
      </c>
      <c r="D98" s="46" t="s">
        <v>185</v>
      </c>
      <c r="E98" s="46" t="s">
        <v>185</v>
      </c>
      <c r="F98" s="90">
        <v>0</v>
      </c>
      <c r="G98" s="90">
        <v>0</v>
      </c>
      <c r="H98" s="90">
        <v>0</v>
      </c>
      <c r="I98" s="91">
        <v>0</v>
      </c>
      <c r="J98" s="91">
        <v>0</v>
      </c>
      <c r="K98" s="91">
        <v>0</v>
      </c>
      <c r="L98" s="91">
        <v>0</v>
      </c>
      <c r="M98" s="91">
        <v>0</v>
      </c>
      <c r="N98" s="89">
        <v>0</v>
      </c>
      <c r="O98" s="29"/>
      <c r="P98" s="558"/>
      <c r="Q98" s="29"/>
      <c r="R98" s="39"/>
      <c r="S98" s="39"/>
      <c r="T98" s="39"/>
      <c r="U98" s="39"/>
      <c r="W98" s="933">
        <v>1</v>
      </c>
      <c r="Y98" s="595"/>
    </row>
    <row r="99" spans="1:48" ht="22.5" hidden="1" customHeight="1" outlineLevel="1">
      <c r="B99" s="367" t="str">
        <f>IF(Contents!$B$2=2,"Sverdlovsk Region","Свердловская область")</f>
        <v>Sverdlovsk Region</v>
      </c>
      <c r="C99" s="53" t="str">
        <f>IF(Contents!$B$2=2,"people"," человек")</f>
        <v>people</v>
      </c>
      <c r="D99" s="46" t="s">
        <v>185</v>
      </c>
      <c r="E99" s="46" t="s">
        <v>185</v>
      </c>
      <c r="F99" s="90">
        <v>0</v>
      </c>
      <c r="G99" s="90">
        <v>0</v>
      </c>
      <c r="H99" s="90">
        <v>0</v>
      </c>
      <c r="I99" s="46">
        <v>3</v>
      </c>
      <c r="J99" s="46">
        <v>11</v>
      </c>
      <c r="K99" s="91">
        <v>17</v>
      </c>
      <c r="L99" s="91">
        <v>21</v>
      </c>
      <c r="M99" s="91">
        <v>19</v>
      </c>
      <c r="N99" s="89">
        <v>14.08</v>
      </c>
      <c r="O99" s="29"/>
      <c r="P99" s="558"/>
      <c r="Q99" s="29"/>
      <c r="R99" s="39"/>
      <c r="S99" s="39"/>
      <c r="T99" s="39"/>
      <c r="U99" s="39"/>
      <c r="W99" s="933">
        <v>1</v>
      </c>
      <c r="Y99" s="595"/>
    </row>
    <row r="100" spans="1:48" ht="22.5" hidden="1" customHeight="1" outlineLevel="1">
      <c r="B100" s="367" t="str">
        <f>IF(Contents!$B$2=2,"Tver region","Тверская область")</f>
        <v>Tver region</v>
      </c>
      <c r="C100" s="53" t="str">
        <f>IF(Contents!$B$2=2,"people"," человек")</f>
        <v>people</v>
      </c>
      <c r="D100" s="46" t="s">
        <v>185</v>
      </c>
      <c r="E100" s="46" t="s">
        <v>185</v>
      </c>
      <c r="F100" s="90">
        <v>0</v>
      </c>
      <c r="G100" s="90">
        <v>0</v>
      </c>
      <c r="H100" s="90">
        <v>0</v>
      </c>
      <c r="I100" s="46">
        <v>5</v>
      </c>
      <c r="J100" s="46">
        <v>7</v>
      </c>
      <c r="K100" s="91">
        <v>9</v>
      </c>
      <c r="L100" s="91">
        <v>9</v>
      </c>
      <c r="M100" s="91">
        <v>11</v>
      </c>
      <c r="N100" s="89">
        <v>10.34</v>
      </c>
      <c r="O100" s="29"/>
      <c r="P100" s="558"/>
      <c r="Q100" s="29"/>
      <c r="R100" s="39"/>
      <c r="S100" s="39"/>
      <c r="T100" s="39"/>
      <c r="U100" s="39"/>
      <c r="W100" s="933">
        <v>1</v>
      </c>
      <c r="Y100" s="595"/>
    </row>
    <row r="101" spans="1:48" ht="22.5" hidden="1" customHeight="1" outlineLevel="1">
      <c r="B101" s="367" t="str">
        <f>IF(Contents!$B$2=2,"Tula Region","Тульская область")</f>
        <v>Tula Region</v>
      </c>
      <c r="C101" s="53" t="str">
        <f>IF(Contents!$B$2=2,"people"," человек")</f>
        <v>people</v>
      </c>
      <c r="D101" s="46" t="s">
        <v>185</v>
      </c>
      <c r="E101" s="46" t="s">
        <v>185</v>
      </c>
      <c r="F101" s="90">
        <v>0</v>
      </c>
      <c r="G101" s="90">
        <v>0</v>
      </c>
      <c r="H101" s="90">
        <v>0</v>
      </c>
      <c r="I101" s="46">
        <v>4</v>
      </c>
      <c r="J101" s="46">
        <v>6</v>
      </c>
      <c r="K101" s="91">
        <v>9</v>
      </c>
      <c r="L101" s="91">
        <v>10</v>
      </c>
      <c r="M101" s="91">
        <v>8</v>
      </c>
      <c r="N101" s="89">
        <v>13.16</v>
      </c>
      <c r="O101" s="29"/>
      <c r="P101" s="558"/>
      <c r="Q101" s="29"/>
      <c r="R101" s="39"/>
      <c r="S101" s="39"/>
      <c r="T101" s="39"/>
      <c r="U101" s="39"/>
      <c r="W101" s="933">
        <v>1</v>
      </c>
      <c r="Y101" s="595"/>
    </row>
    <row r="102" spans="1:48" ht="22.5" hidden="1" customHeight="1" outlineLevel="1">
      <c r="B102" s="367" t="str">
        <f>IF(Contents!$B$2=2,"Republic of Tatarstan","Республика Татарстан")</f>
        <v>Republic of Tatarstan</v>
      </c>
      <c r="C102" s="53" t="str">
        <f>IF(Contents!$B$2=2,"people"," человек")</f>
        <v>people</v>
      </c>
      <c r="D102" s="46" t="s">
        <v>185</v>
      </c>
      <c r="E102" s="46" t="s">
        <v>185</v>
      </c>
      <c r="F102" s="90">
        <v>0</v>
      </c>
      <c r="G102" s="90">
        <v>0</v>
      </c>
      <c r="H102" s="90">
        <v>0</v>
      </c>
      <c r="I102" s="46">
        <v>1</v>
      </c>
      <c r="J102" s="46">
        <v>5</v>
      </c>
      <c r="K102" s="91">
        <v>8</v>
      </c>
      <c r="L102" s="91">
        <v>9</v>
      </c>
      <c r="M102" s="91">
        <v>9</v>
      </c>
      <c r="N102" s="89">
        <v>6</v>
      </c>
      <c r="O102" s="29"/>
      <c r="P102" s="558"/>
      <c r="Q102" s="29"/>
      <c r="R102" s="39"/>
      <c r="S102" s="39"/>
      <c r="T102" s="39"/>
      <c r="U102" s="39"/>
      <c r="W102" s="933">
        <v>1</v>
      </c>
      <c r="Y102" s="595"/>
    </row>
    <row r="103" spans="1:48" ht="22.5" hidden="1" customHeight="1" outlineLevel="1">
      <c r="B103" s="367" t="str">
        <f>IF(Contents!$B$2=2,"Vladimir Region","Владимирская область")</f>
        <v>Vladimir Region</v>
      </c>
      <c r="C103" s="53" t="str">
        <f>IF(Contents!$B$2=2,"people"," человек")</f>
        <v>people</v>
      </c>
      <c r="D103" s="46" t="s">
        <v>185</v>
      </c>
      <c r="E103" s="46" t="s">
        <v>185</v>
      </c>
      <c r="F103" s="90">
        <v>0</v>
      </c>
      <c r="G103" s="90">
        <v>0</v>
      </c>
      <c r="H103" s="90">
        <v>0</v>
      </c>
      <c r="I103" s="46">
        <v>0</v>
      </c>
      <c r="J103" s="46">
        <v>0</v>
      </c>
      <c r="K103" s="91">
        <v>4</v>
      </c>
      <c r="L103" s="91">
        <v>10</v>
      </c>
      <c r="M103" s="91">
        <v>10</v>
      </c>
      <c r="N103" s="89">
        <v>10.9</v>
      </c>
      <c r="O103" s="29"/>
      <c r="P103" s="558"/>
      <c r="Q103" s="29"/>
      <c r="R103" s="39"/>
      <c r="S103" s="39"/>
      <c r="T103" s="39"/>
      <c r="U103" s="39"/>
      <c r="W103" s="933">
        <v>1</v>
      </c>
      <c r="Y103" s="595"/>
    </row>
    <row r="104" spans="1:48" ht="22.5" hidden="1" customHeight="1" outlineLevel="1">
      <c r="B104" s="367" t="str">
        <f>IF(Contents!$B$2=2,"Penza Region","Пензенская область")</f>
        <v>Penza Region</v>
      </c>
      <c r="C104" s="53" t="str">
        <f>IF(Contents!$B$2=2,"people"," человек")</f>
        <v>people</v>
      </c>
      <c r="D104" s="46" t="s">
        <v>185</v>
      </c>
      <c r="E104" s="46" t="s">
        <v>185</v>
      </c>
      <c r="F104" s="90">
        <v>0</v>
      </c>
      <c r="G104" s="90">
        <v>0</v>
      </c>
      <c r="H104" s="90">
        <v>0</v>
      </c>
      <c r="I104" s="46">
        <v>0</v>
      </c>
      <c r="J104" s="46">
        <v>0</v>
      </c>
      <c r="K104" s="46">
        <v>0</v>
      </c>
      <c r="L104" s="91">
        <v>3</v>
      </c>
      <c r="M104" s="91">
        <v>6</v>
      </c>
      <c r="N104" s="89">
        <v>5.69</v>
      </c>
      <c r="O104" s="29"/>
      <c r="P104" s="558"/>
      <c r="Q104" s="29"/>
      <c r="R104" s="39"/>
      <c r="S104" s="39"/>
      <c r="T104" s="39"/>
      <c r="U104" s="39"/>
      <c r="W104" s="933">
        <v>1</v>
      </c>
      <c r="Y104" s="595"/>
    </row>
    <row r="105" spans="1:48" ht="22.5" hidden="1" customHeight="1" outlineLevel="1">
      <c r="B105" s="368" t="str">
        <f>IF(Contents!$B$2=2,"Nizhny Novgorod region","Нижегородская область")</f>
        <v>Nizhny Novgorod region</v>
      </c>
      <c r="C105" s="53" t="str">
        <f>IF(Contents!$B$2=2,"people"," человек")</f>
        <v>people</v>
      </c>
      <c r="D105" s="46" t="s">
        <v>185</v>
      </c>
      <c r="E105" s="46" t="s">
        <v>185</v>
      </c>
      <c r="F105" s="90">
        <v>0</v>
      </c>
      <c r="G105" s="90">
        <v>0</v>
      </c>
      <c r="H105" s="90">
        <v>0</v>
      </c>
      <c r="I105" s="46">
        <v>0</v>
      </c>
      <c r="J105" s="46">
        <v>0</v>
      </c>
      <c r="K105" s="46">
        <v>0</v>
      </c>
      <c r="L105" s="46">
        <v>0</v>
      </c>
      <c r="M105" s="46">
        <v>2</v>
      </c>
      <c r="N105" s="89">
        <v>6</v>
      </c>
      <c r="O105" s="29"/>
      <c r="P105" s="558"/>
      <c r="Q105" s="29"/>
      <c r="R105" s="39"/>
      <c r="S105" s="39"/>
      <c r="T105" s="39"/>
      <c r="U105" s="39"/>
      <c r="W105" s="933">
        <v>1</v>
      </c>
      <c r="Y105" s="595"/>
    </row>
    <row r="106" spans="1:48" ht="22.5" hidden="1" customHeight="1" outlineLevel="1">
      <c r="B106" s="368" t="str">
        <f>IF(Contents!$B$2=2,"Primorsky Krai","Приморский край")</f>
        <v>Primorsky Krai</v>
      </c>
      <c r="C106" s="53" t="str">
        <f>IF(Contents!$B$2=2,"people"," человек")</f>
        <v>people</v>
      </c>
      <c r="D106" s="46" t="s">
        <v>185</v>
      </c>
      <c r="E106" s="46" t="s">
        <v>185</v>
      </c>
      <c r="F106" s="90">
        <v>0</v>
      </c>
      <c r="G106" s="90">
        <v>0</v>
      </c>
      <c r="H106" s="90">
        <v>0</v>
      </c>
      <c r="I106" s="46">
        <v>0</v>
      </c>
      <c r="J106" s="46">
        <v>0</v>
      </c>
      <c r="K106" s="46">
        <v>0</v>
      </c>
      <c r="L106" s="46">
        <v>0</v>
      </c>
      <c r="M106" s="46">
        <v>105</v>
      </c>
      <c r="N106" s="89">
        <v>268.84000000000003</v>
      </c>
      <c r="O106" s="29"/>
      <c r="P106" s="558"/>
      <c r="Q106" s="29"/>
      <c r="R106" s="39"/>
      <c r="S106" s="39"/>
      <c r="T106" s="39"/>
      <c r="U106" s="39"/>
      <c r="W106" s="933">
        <v>1</v>
      </c>
      <c r="Y106" s="595"/>
    </row>
    <row r="107" spans="1:48" ht="22.5" hidden="1" customHeight="1" outlineLevel="1">
      <c r="B107" s="368" t="str">
        <f>IF(Contents!$B$2=2,"Republic of Mari El","Республика Марий Эл")</f>
        <v>Republic of Mari El</v>
      </c>
      <c r="C107" s="53" t="str">
        <f>IF(Contents!$B$2=2,"people"," человек")</f>
        <v>people</v>
      </c>
      <c r="D107" s="46" t="s">
        <v>185</v>
      </c>
      <c r="E107" s="46" t="s">
        <v>185</v>
      </c>
      <c r="F107" s="90">
        <v>0</v>
      </c>
      <c r="G107" s="90">
        <v>0</v>
      </c>
      <c r="H107" s="90">
        <v>0</v>
      </c>
      <c r="I107" s="46">
        <v>0</v>
      </c>
      <c r="J107" s="46">
        <v>0</v>
      </c>
      <c r="K107" s="46">
        <v>0</v>
      </c>
      <c r="L107" s="46">
        <v>0</v>
      </c>
      <c r="M107" s="46">
        <v>0</v>
      </c>
      <c r="N107" s="89">
        <v>0</v>
      </c>
      <c r="O107" s="29"/>
      <c r="P107" s="558"/>
      <c r="Q107" s="29"/>
      <c r="R107" s="39"/>
      <c r="S107" s="39"/>
      <c r="T107" s="39"/>
      <c r="U107" s="39"/>
      <c r="W107" s="933">
        <v>1</v>
      </c>
      <c r="Y107" s="595"/>
    </row>
    <row r="108" spans="1:48" ht="22.5" hidden="1" customHeight="1" outlineLevel="1">
      <c r="B108" s="368" t="str">
        <f>IF(Contents!$B$2=2,"Chuvash Republic","Чувашская республика")</f>
        <v>Chuvash Republic</v>
      </c>
      <c r="C108" s="53" t="str">
        <f>IF(Contents!$B$2=2,"people"," человек")</f>
        <v>people</v>
      </c>
      <c r="D108" s="46" t="s">
        <v>185</v>
      </c>
      <c r="E108" s="46" t="s">
        <v>185</v>
      </c>
      <c r="F108" s="90" t="s">
        <v>185</v>
      </c>
      <c r="G108" s="90" t="s">
        <v>185</v>
      </c>
      <c r="H108" s="90" t="s">
        <v>185</v>
      </c>
      <c r="I108" s="46" t="s">
        <v>185</v>
      </c>
      <c r="J108" s="46" t="s">
        <v>185</v>
      </c>
      <c r="K108" s="46" t="s">
        <v>185</v>
      </c>
      <c r="L108" s="46" t="s">
        <v>185</v>
      </c>
      <c r="M108" s="46" t="s">
        <v>185</v>
      </c>
      <c r="N108" s="89">
        <v>4</v>
      </c>
      <c r="O108" s="29"/>
      <c r="P108" s="558"/>
      <c r="Q108" s="29"/>
      <c r="R108" s="39"/>
      <c r="S108" s="39"/>
      <c r="T108" s="39"/>
      <c r="U108" s="39"/>
      <c r="W108" s="933">
        <v>1</v>
      </c>
      <c r="Y108" s="595"/>
    </row>
    <row r="109" spans="1:48" ht="22.5" customHeight="1" collapsed="1">
      <c r="B109" s="78" t="str">
        <f>IF(Contents!$B$2=2,"Other countries","Прочие страны")</f>
        <v>Other countries</v>
      </c>
      <c r="C109" s="53" t="str">
        <f>IF(Contents!$B$2=2,"people"," человек")</f>
        <v>people</v>
      </c>
      <c r="D109" s="46" t="s">
        <v>185</v>
      </c>
      <c r="E109" s="46" t="s">
        <v>185</v>
      </c>
      <c r="F109" s="46">
        <v>114.79999999999998</v>
      </c>
      <c r="G109" s="46">
        <v>143</v>
      </c>
      <c r="H109" s="46">
        <v>180</v>
      </c>
      <c r="I109" s="46">
        <v>209</v>
      </c>
      <c r="J109" s="46">
        <v>239</v>
      </c>
      <c r="K109" s="107">
        <v>171</v>
      </c>
      <c r="L109" s="107">
        <v>128</v>
      </c>
      <c r="M109" s="107">
        <v>151</v>
      </c>
      <c r="N109" s="89">
        <v>165</v>
      </c>
      <c r="O109" s="29"/>
      <c r="P109" s="558"/>
      <c r="Q109" s="29"/>
      <c r="R109" s="39"/>
      <c r="S109" s="39"/>
      <c r="T109" s="39"/>
      <c r="U109" s="39"/>
      <c r="W109" s="933">
        <v>1</v>
      </c>
      <c r="Y109" s="595"/>
    </row>
    <row r="110" spans="1:48" s="375" customFormat="1" ht="22.5" customHeight="1">
      <c r="A110" s="14"/>
      <c r="B110" s="285"/>
      <c r="C110" s="53"/>
      <c r="D110" s="46"/>
      <c r="E110" s="46"/>
      <c r="F110" s="377"/>
      <c r="G110" s="377"/>
      <c r="H110" s="377"/>
      <c r="I110" s="377"/>
      <c r="J110" s="377"/>
      <c r="K110" s="377"/>
      <c r="L110" s="377"/>
      <c r="M110" s="377"/>
      <c r="N110" s="374"/>
      <c r="O110" s="29"/>
      <c r="P110" s="558"/>
      <c r="Q110" s="29"/>
      <c r="R110" s="39"/>
      <c r="S110" s="39"/>
      <c r="T110" s="39"/>
      <c r="U110" s="39"/>
      <c r="V110" s="589"/>
      <c r="W110" s="933"/>
      <c r="X110" s="589"/>
      <c r="Y110" s="589"/>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row>
    <row r="111" spans="1:48" ht="20.100000000000001" customHeight="1">
      <c r="B111" s="376" t="str">
        <f>IF(Contents!$B$2=2,"Distribution of employees by type of employment contract","Распределение работников по типу договора о найме")</f>
        <v>Distribution of employees by type of employment contract</v>
      </c>
      <c r="C111" s="105"/>
      <c r="D111" s="106"/>
      <c r="E111" s="106"/>
      <c r="F111" s="106"/>
      <c r="G111" s="106"/>
      <c r="H111" s="106"/>
      <c r="I111" s="363"/>
      <c r="J111" s="363"/>
      <c r="K111" s="363"/>
      <c r="L111" s="363"/>
      <c r="M111" s="363"/>
      <c r="N111" s="363"/>
      <c r="O111" s="40"/>
      <c r="P111" s="558"/>
      <c r="Q111" s="40"/>
      <c r="R111" s="39"/>
      <c r="S111" s="39"/>
      <c r="T111" s="39"/>
      <c r="U111" s="39"/>
    </row>
    <row r="112" spans="1:48" ht="34.5" customHeight="1">
      <c r="B112" s="371" t="str">
        <f>IF(Contents!$B$2=2,"Permanent employment contract","Бессрочный договор")</f>
        <v>Permanent employment contract</v>
      </c>
      <c r="C112" s="49" t="str">
        <f>IF(Contents!$B$2=2,"people"," человек")</f>
        <v>people</v>
      </c>
      <c r="D112" s="372">
        <v>9623</v>
      </c>
      <c r="E112" s="372">
        <v>10523</v>
      </c>
      <c r="F112" s="372">
        <v>11070</v>
      </c>
      <c r="G112" s="372">
        <v>12594</v>
      </c>
      <c r="H112" s="372">
        <v>14040</v>
      </c>
      <c r="I112" s="372">
        <v>15152</v>
      </c>
      <c r="J112" s="372">
        <v>16686</v>
      </c>
      <c r="K112" s="372">
        <v>17846</v>
      </c>
      <c r="L112" s="372">
        <v>18933</v>
      </c>
      <c r="M112" s="372">
        <v>20092</v>
      </c>
      <c r="N112" s="372">
        <v>21943</v>
      </c>
      <c r="O112" s="879"/>
      <c r="P112" s="558" t="str">
        <f>IF(Contents!$B$2=2,"Yes","Да")</f>
        <v>Yes</v>
      </c>
      <c r="Q112" s="29"/>
      <c r="R112" s="39" t="s">
        <v>122</v>
      </c>
      <c r="S112" s="39"/>
      <c r="T112" s="39" t="s">
        <v>123</v>
      </c>
      <c r="U112" s="39"/>
      <c r="W112" s="933">
        <v>1</v>
      </c>
      <c r="Y112" s="595"/>
    </row>
    <row r="113" spans="1:48" ht="22.5" customHeight="1">
      <c r="B113" s="364" t="str">
        <f>IF(Contents!$B$2=2,"by gender","по полу")</f>
        <v>by gender</v>
      </c>
      <c r="C113" s="77"/>
      <c r="D113" s="111"/>
      <c r="E113" s="111"/>
      <c r="F113" s="111"/>
      <c r="G113" s="111"/>
      <c r="H113" s="111"/>
      <c r="I113" s="85"/>
      <c r="J113" s="111"/>
      <c r="K113" s="111"/>
      <c r="L113" s="111"/>
      <c r="M113" s="111"/>
      <c r="N113" s="111"/>
      <c r="O113" s="37"/>
      <c r="P113" s="39"/>
      <c r="Q113" s="29"/>
      <c r="R113" s="39" t="s">
        <v>122</v>
      </c>
      <c r="S113" s="39"/>
      <c r="T113" s="39" t="s">
        <v>123</v>
      </c>
      <c r="U113" s="39"/>
      <c r="Y113" s="595"/>
    </row>
    <row r="114" spans="1:48" ht="22.5" customHeight="1">
      <c r="B114" s="93" t="str">
        <f>IF(Contents!$B$2=2,"Male","Мужчины")</f>
        <v>Male</v>
      </c>
      <c r="C114" s="53" t="str">
        <f>IF(Contents!$B$2=2,"people"," человек")</f>
        <v>people</v>
      </c>
      <c r="D114" s="46" t="s">
        <v>185</v>
      </c>
      <c r="E114" s="46" t="s">
        <v>185</v>
      </c>
      <c r="F114" s="46">
        <v>8469</v>
      </c>
      <c r="G114" s="46">
        <v>9669</v>
      </c>
      <c r="H114" s="46">
        <v>10870</v>
      </c>
      <c r="I114" s="38">
        <v>11776</v>
      </c>
      <c r="J114" s="38">
        <v>13175</v>
      </c>
      <c r="K114" s="38">
        <v>14137</v>
      </c>
      <c r="L114" s="38">
        <v>15115</v>
      </c>
      <c r="M114" s="38">
        <v>16186</v>
      </c>
      <c r="N114" s="89">
        <v>17931</v>
      </c>
      <c r="O114" s="879"/>
      <c r="P114" s="558" t="str">
        <f>IF(Contents!$B$2=2,"Yes","Да")</f>
        <v>Yes</v>
      </c>
      <c r="Q114" s="29"/>
      <c r="R114" s="39"/>
      <c r="S114" s="39"/>
      <c r="T114" s="39"/>
      <c r="U114" s="39"/>
      <c r="W114" s="933">
        <v>1</v>
      </c>
      <c r="Y114" s="595"/>
    </row>
    <row r="115" spans="1:48" ht="22.5" customHeight="1">
      <c r="B115" s="93" t="str">
        <f>IF(Contents!$B$2=2,"Female","Женщины")</f>
        <v>Female</v>
      </c>
      <c r="C115" s="53" t="str">
        <f>IF(Contents!$B$2=2,"people"," человек")</f>
        <v>people</v>
      </c>
      <c r="D115" s="46" t="s">
        <v>185</v>
      </c>
      <c r="E115" s="46" t="s">
        <v>185</v>
      </c>
      <c r="F115" s="46">
        <v>2601</v>
      </c>
      <c r="G115" s="46">
        <v>2925</v>
      </c>
      <c r="H115" s="46">
        <v>3170</v>
      </c>
      <c r="I115" s="38">
        <v>3376</v>
      </c>
      <c r="J115" s="38">
        <v>3511</v>
      </c>
      <c r="K115" s="38">
        <v>3709</v>
      </c>
      <c r="L115" s="38">
        <v>3818</v>
      </c>
      <c r="M115" s="38">
        <v>3906</v>
      </c>
      <c r="N115" s="89">
        <v>4012</v>
      </c>
      <c r="O115" s="879"/>
      <c r="P115" s="558" t="str">
        <f>IF(Contents!$B$2=2,"Yes","Да")</f>
        <v>Yes</v>
      </c>
      <c r="Q115" s="29"/>
      <c r="R115" s="39"/>
      <c r="S115" s="39"/>
      <c r="T115" s="39"/>
      <c r="U115" s="39"/>
      <c r="W115" s="933">
        <v>1</v>
      </c>
      <c r="Y115" s="595"/>
    </row>
    <row r="116" spans="1:48" ht="22.5" customHeight="1">
      <c r="B116" s="23" t="str">
        <f>IF(Contents!$B$2=2,"by region","по региону")</f>
        <v>by region</v>
      </c>
      <c r="C116" s="77"/>
      <c r="D116" s="111"/>
      <c r="E116" s="111"/>
      <c r="F116" s="111"/>
      <c r="G116" s="111"/>
      <c r="H116" s="111"/>
      <c r="I116" s="85"/>
      <c r="J116" s="111"/>
      <c r="K116" s="111"/>
      <c r="L116" s="111"/>
      <c r="M116" s="111"/>
      <c r="N116" s="111"/>
      <c r="O116" s="37"/>
      <c r="P116" s="558"/>
      <c r="Q116" s="29"/>
      <c r="R116" s="39" t="s">
        <v>122</v>
      </c>
      <c r="S116" s="39"/>
      <c r="T116" s="39" t="s">
        <v>123</v>
      </c>
      <c r="U116" s="39"/>
      <c r="Y116" s="595"/>
    </row>
    <row r="117" spans="1:48" ht="22.5" customHeight="1">
      <c r="B117" s="177" t="str">
        <f>IF(Contents!$B$2=2,"Russian Federation","Российская Федерация")</f>
        <v>Russian Federation</v>
      </c>
      <c r="C117" s="53" t="str">
        <f>IF(Contents!$B$2=2,"people"," человек")</f>
        <v>people</v>
      </c>
      <c r="D117" s="46" t="s">
        <v>185</v>
      </c>
      <c r="E117" s="46" t="s">
        <v>185</v>
      </c>
      <c r="F117" s="46">
        <v>10975</v>
      </c>
      <c r="G117" s="46">
        <v>12491</v>
      </c>
      <c r="H117" s="46">
        <v>13895</v>
      </c>
      <c r="I117" s="46">
        <v>14970</v>
      </c>
      <c r="J117" s="46">
        <v>16477</v>
      </c>
      <c r="K117" s="46">
        <v>17746</v>
      </c>
      <c r="L117" s="46">
        <v>18829</v>
      </c>
      <c r="M117" s="46">
        <v>19973</v>
      </c>
      <c r="N117" s="104">
        <v>21818</v>
      </c>
      <c r="O117" s="879"/>
      <c r="P117" s="558" t="str">
        <f>IF(Contents!$B$2=2,"Yes","Да")</f>
        <v>Yes</v>
      </c>
      <c r="Q117" s="38"/>
      <c r="R117" s="39"/>
      <c r="S117" s="39"/>
      <c r="T117" s="39"/>
      <c r="U117" s="39"/>
      <c r="W117" s="933">
        <v>1</v>
      </c>
      <c r="Y117" s="595"/>
    </row>
    <row r="118" spans="1:48" ht="22.5" customHeight="1">
      <c r="B118" s="207" t="str">
        <f>IF(Contents!$B$2=2,"Yamal-Nenets Autonomous Region","Ямало-Ненецкий автономный округ")</f>
        <v>Yamal-Nenets Autonomous Region</v>
      </c>
      <c r="C118" s="53" t="str">
        <f>IF(Contents!$B$2=2,"people"," человек")</f>
        <v>people</v>
      </c>
      <c r="D118" s="46" t="s">
        <v>185</v>
      </c>
      <c r="E118" s="46" t="s">
        <v>185</v>
      </c>
      <c r="F118" s="46">
        <v>7372</v>
      </c>
      <c r="G118" s="46">
        <v>8292</v>
      </c>
      <c r="H118" s="46">
        <v>9013</v>
      </c>
      <c r="I118" s="46">
        <v>9462</v>
      </c>
      <c r="J118" s="46">
        <v>10385</v>
      </c>
      <c r="K118" s="38">
        <v>11021</v>
      </c>
      <c r="L118" s="38">
        <v>11997</v>
      </c>
      <c r="M118" s="38">
        <v>12655</v>
      </c>
      <c r="N118" s="89">
        <v>14092</v>
      </c>
      <c r="O118" s="879"/>
      <c r="P118" s="558" t="str">
        <f>IF(Contents!$B$2=2,"Yes","Да")</f>
        <v>Yes</v>
      </c>
      <c r="Q118" s="38"/>
      <c r="R118" s="39"/>
      <c r="S118" s="39"/>
      <c r="T118" s="39"/>
      <c r="U118" s="39"/>
      <c r="W118" s="933">
        <v>1</v>
      </c>
      <c r="Y118" s="595"/>
    </row>
    <row r="119" spans="1:48" ht="22.5" customHeight="1">
      <c r="B119" s="207" t="str">
        <f>IF(Contents!$B$2=2,"Moscow and Moscow Region","Москва и Московская область")</f>
        <v>Moscow and Moscow Region</v>
      </c>
      <c r="C119" s="53" t="str">
        <f>IF(Contents!$B$2=2,"people"," человек")</f>
        <v>people</v>
      </c>
      <c r="D119" s="46" t="s">
        <v>185</v>
      </c>
      <c r="E119" s="46" t="s">
        <v>185</v>
      </c>
      <c r="F119" s="46">
        <v>1247</v>
      </c>
      <c r="G119" s="46">
        <v>1467</v>
      </c>
      <c r="H119" s="46">
        <v>1717</v>
      </c>
      <c r="I119" s="46">
        <v>1929</v>
      </c>
      <c r="J119" s="46">
        <v>2131</v>
      </c>
      <c r="K119" s="38">
        <v>2151</v>
      </c>
      <c r="L119" s="38">
        <v>2335</v>
      </c>
      <c r="M119" s="38">
        <v>2329</v>
      </c>
      <c r="N119" s="89">
        <v>2427</v>
      </c>
      <c r="O119" s="879"/>
      <c r="P119" s="558" t="str">
        <f>IF(Contents!$B$2=2,"Yes","Да")</f>
        <v>Yes</v>
      </c>
      <c r="Q119" s="38"/>
      <c r="R119" s="39"/>
      <c r="S119" s="39"/>
      <c r="T119" s="39"/>
      <c r="U119" s="39"/>
      <c r="W119" s="933">
        <v>1</v>
      </c>
      <c r="Y119" s="595"/>
    </row>
    <row r="120" spans="1:48" ht="22.5" customHeight="1">
      <c r="B120" s="207" t="str">
        <f>IF(Contents!$B$2=2,"Chelyabinsk Region","Челябинская область")</f>
        <v>Chelyabinsk Region</v>
      </c>
      <c r="C120" s="53" t="str">
        <f>IF(Contents!$B$2=2,"people"," человек")</f>
        <v>people</v>
      </c>
      <c r="D120" s="46" t="s">
        <v>185</v>
      </c>
      <c r="E120" s="46" t="s">
        <v>185</v>
      </c>
      <c r="F120" s="46">
        <v>873</v>
      </c>
      <c r="G120" s="46">
        <v>912</v>
      </c>
      <c r="H120" s="46">
        <v>1134</v>
      </c>
      <c r="I120" s="46">
        <v>1232</v>
      </c>
      <c r="J120" s="46">
        <v>1233</v>
      </c>
      <c r="K120" s="38">
        <v>1229</v>
      </c>
      <c r="L120" s="38">
        <v>1172</v>
      </c>
      <c r="M120" s="38">
        <v>1220</v>
      </c>
      <c r="N120" s="89">
        <v>1265</v>
      </c>
      <c r="O120" s="879"/>
      <c r="P120" s="558" t="str">
        <f>IF(Contents!$B$2=2,"Yes","Да")</f>
        <v>Yes</v>
      </c>
      <c r="Q120" s="38"/>
      <c r="R120" s="39"/>
      <c r="S120" s="39"/>
      <c r="T120" s="39"/>
      <c r="U120" s="39"/>
      <c r="W120" s="933">
        <v>1</v>
      </c>
      <c r="Y120" s="595"/>
    </row>
    <row r="121" spans="1:48" ht="22.5" customHeight="1">
      <c r="B121" s="207" t="str">
        <f>IF(Contents!$B$2=2,"St. Petersburg and Leningrad Region","Санкт-Петербург и Ленинградская область")</f>
        <v>St. Petersburg and Leningrad Region</v>
      </c>
      <c r="C121" s="53" t="str">
        <f>IF(Contents!$B$2=2,"people"," человек")</f>
        <v>people</v>
      </c>
      <c r="D121" s="46" t="s">
        <v>185</v>
      </c>
      <c r="E121" s="46" t="s">
        <v>185</v>
      </c>
      <c r="F121" s="46">
        <v>602</v>
      </c>
      <c r="G121" s="46">
        <v>764</v>
      </c>
      <c r="H121" s="46">
        <v>850</v>
      </c>
      <c r="I121" s="46">
        <v>894</v>
      </c>
      <c r="J121" s="46">
        <v>1015</v>
      </c>
      <c r="K121" s="38">
        <v>1126</v>
      </c>
      <c r="L121" s="38">
        <v>1201</v>
      </c>
      <c r="M121" s="38">
        <v>1273</v>
      </c>
      <c r="N121" s="89">
        <v>1348</v>
      </c>
      <c r="O121" s="879"/>
      <c r="P121" s="558" t="str">
        <f>IF(Contents!$B$2=2,"Yes","Да")</f>
        <v>Yes</v>
      </c>
      <c r="Q121" s="38"/>
      <c r="R121" s="39"/>
      <c r="S121" s="39"/>
      <c r="T121" s="39"/>
      <c r="U121" s="39"/>
      <c r="W121" s="933">
        <v>1</v>
      </c>
      <c r="Y121" s="595"/>
    </row>
    <row r="122" spans="1:48" s="375" customFormat="1" ht="22.5" customHeight="1">
      <c r="A122" s="14"/>
      <c r="B122" s="285" t="str">
        <f>IF(Contents!$B$2=2,"Other regions","Прочие регионы")</f>
        <v>Other regions</v>
      </c>
      <c r="C122" s="53" t="str">
        <f>IF(Contents!$B$2=2,"people"," человек")</f>
        <v>people</v>
      </c>
      <c r="D122" s="373" t="s">
        <v>185</v>
      </c>
      <c r="E122" s="46" t="s">
        <v>185</v>
      </c>
      <c r="F122" s="38">
        <v>881</v>
      </c>
      <c r="G122" s="38">
        <v>1056</v>
      </c>
      <c r="H122" s="38">
        <v>1181</v>
      </c>
      <c r="I122" s="38">
        <v>1453</v>
      </c>
      <c r="J122" s="38">
        <v>1713</v>
      </c>
      <c r="K122" s="38">
        <v>2219</v>
      </c>
      <c r="L122" s="38">
        <v>2124</v>
      </c>
      <c r="M122" s="38">
        <v>2496</v>
      </c>
      <c r="N122" s="89">
        <v>2686</v>
      </c>
      <c r="O122" s="879"/>
      <c r="P122" s="558" t="str">
        <f>IF(Contents!$B$2=2,"Yes","Да")</f>
        <v>Yes</v>
      </c>
      <c r="Q122" s="38"/>
      <c r="R122" s="39"/>
      <c r="S122" s="39"/>
      <c r="T122" s="39"/>
      <c r="U122" s="39"/>
      <c r="V122" s="589"/>
      <c r="W122" s="933">
        <v>1</v>
      </c>
      <c r="X122" s="589"/>
      <c r="Y122" s="595"/>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row>
    <row r="123" spans="1:48" ht="22.5" hidden="1" customHeight="1" outlineLevel="1">
      <c r="B123" s="367" t="str">
        <f>IF(Contents!$B$2=2,"Tyumen Region","Тюменская область")</f>
        <v>Tyumen Region</v>
      </c>
      <c r="C123" s="53" t="str">
        <f>IF(Contents!$B$2=2,"people"," человек")</f>
        <v>people</v>
      </c>
      <c r="D123" s="46" t="s">
        <v>185</v>
      </c>
      <c r="E123" s="46" t="s">
        <v>185</v>
      </c>
      <c r="F123" s="46">
        <v>217</v>
      </c>
      <c r="G123" s="38">
        <v>282</v>
      </c>
      <c r="H123" s="46">
        <v>393</v>
      </c>
      <c r="I123" s="46">
        <v>510</v>
      </c>
      <c r="J123" s="46">
        <v>653</v>
      </c>
      <c r="K123" s="107">
        <v>728</v>
      </c>
      <c r="L123" s="107">
        <v>797</v>
      </c>
      <c r="M123" s="107">
        <v>844</v>
      </c>
      <c r="N123" s="89">
        <v>947</v>
      </c>
      <c r="O123" s="879"/>
      <c r="P123" s="558" t="str">
        <f>IF(Contents!$B$2=2,"Yes","Да")</f>
        <v>Yes</v>
      </c>
      <c r="Q123" s="38"/>
      <c r="R123" s="39"/>
      <c r="S123" s="39"/>
      <c r="T123" s="39"/>
      <c r="U123" s="39"/>
      <c r="W123" s="933">
        <v>1</v>
      </c>
      <c r="Y123" s="595"/>
    </row>
    <row r="124" spans="1:48" ht="22.5" hidden="1" customHeight="1" outlineLevel="1">
      <c r="B124" s="367" t="str">
        <f>IF(Contents!$B$2=2,"Rostov Region","Ростовская область")</f>
        <v>Rostov Region</v>
      </c>
      <c r="C124" s="53" t="str">
        <f>IF(Contents!$B$2=2,"people"," человек")</f>
        <v>people</v>
      </c>
      <c r="D124" s="46" t="s">
        <v>185</v>
      </c>
      <c r="E124" s="46" t="s">
        <v>185</v>
      </c>
      <c r="F124" s="46">
        <v>196</v>
      </c>
      <c r="G124" s="46">
        <v>195</v>
      </c>
      <c r="H124" s="46">
        <v>195</v>
      </c>
      <c r="I124" s="46">
        <v>206</v>
      </c>
      <c r="J124" s="46">
        <v>200</v>
      </c>
      <c r="K124" s="91">
        <v>204</v>
      </c>
      <c r="L124" s="91">
        <v>184</v>
      </c>
      <c r="M124" s="91">
        <v>201</v>
      </c>
      <c r="N124" s="89">
        <v>202</v>
      </c>
      <c r="O124" s="879"/>
      <c r="P124" s="558" t="str">
        <f>IF(Contents!$B$2=2,"Yes","Да")</f>
        <v>Yes</v>
      </c>
      <c r="Q124" s="38"/>
      <c r="R124" s="39"/>
      <c r="S124" s="39"/>
      <c r="T124" s="39"/>
      <c r="U124" s="39"/>
      <c r="W124" s="933">
        <v>1</v>
      </c>
      <c r="Y124" s="595"/>
    </row>
    <row r="125" spans="1:48" ht="22.5" hidden="1" customHeight="1" outlineLevel="1">
      <c r="B125" s="367" t="str">
        <f>IF(Contents!$B$2=2,"Kostroma Region","Костромская область")</f>
        <v>Kostroma Region</v>
      </c>
      <c r="C125" s="53" t="str">
        <f>IF(Contents!$B$2=2,"people"," человек")</f>
        <v>people</v>
      </c>
      <c r="D125" s="46" t="s">
        <v>185</v>
      </c>
      <c r="E125" s="46" t="s">
        <v>185</v>
      </c>
      <c r="F125" s="46">
        <v>169</v>
      </c>
      <c r="G125" s="46">
        <v>172</v>
      </c>
      <c r="H125" s="46">
        <v>171</v>
      </c>
      <c r="I125" s="46">
        <v>177</v>
      </c>
      <c r="J125" s="46">
        <v>186</v>
      </c>
      <c r="K125" s="91">
        <v>191</v>
      </c>
      <c r="L125" s="91">
        <v>187</v>
      </c>
      <c r="M125" s="91">
        <v>185</v>
      </c>
      <c r="N125" s="89">
        <v>194</v>
      </c>
      <c r="O125" s="879"/>
      <c r="P125" s="558" t="str">
        <f>IF(Contents!$B$2=2,"Yes","Да")</f>
        <v>Yes</v>
      </c>
      <c r="Q125" s="38"/>
      <c r="R125" s="39"/>
      <c r="S125" s="39"/>
      <c r="T125" s="39"/>
      <c r="U125" s="39"/>
      <c r="W125" s="933">
        <v>1</v>
      </c>
      <c r="Y125" s="595"/>
    </row>
    <row r="126" spans="1:48" ht="22.5" hidden="1" customHeight="1" outlineLevel="1">
      <c r="B126" s="367" t="str">
        <f>IF(Contents!$B$2=2,"Volgograd Region","Волгоградская область")</f>
        <v>Volgograd Region</v>
      </c>
      <c r="C126" s="53" t="str">
        <f>IF(Contents!$B$2=2,"people"," человек")</f>
        <v>people</v>
      </c>
      <c r="D126" s="46" t="s">
        <v>185</v>
      </c>
      <c r="E126" s="46" t="s">
        <v>185</v>
      </c>
      <c r="F126" s="46">
        <v>175</v>
      </c>
      <c r="G126" s="46">
        <v>185</v>
      </c>
      <c r="H126" s="46">
        <v>187</v>
      </c>
      <c r="I126" s="46">
        <v>195</v>
      </c>
      <c r="J126" s="46">
        <v>198</v>
      </c>
      <c r="K126" s="91">
        <v>206</v>
      </c>
      <c r="L126" s="91">
        <v>197</v>
      </c>
      <c r="M126" s="91">
        <v>199</v>
      </c>
      <c r="N126" s="89">
        <v>207</v>
      </c>
      <c r="O126" s="879"/>
      <c r="P126" s="558" t="str">
        <f>IF(Contents!$B$2=2,"Yes","Да")</f>
        <v>Yes</v>
      </c>
      <c r="Q126" s="38"/>
      <c r="R126" s="39"/>
      <c r="S126" s="39"/>
      <c r="T126" s="39"/>
      <c r="U126" s="39"/>
      <c r="W126" s="933">
        <v>1</v>
      </c>
      <c r="Y126" s="595"/>
    </row>
    <row r="127" spans="1:48" ht="22.5" hidden="1" customHeight="1" outlineLevel="1">
      <c r="B127" s="367" t="str">
        <f>IF(Contents!$B$2=2,"Murmansk Region","Мурманская область")</f>
        <v>Murmansk Region</v>
      </c>
      <c r="C127" s="53" t="str">
        <f>IF(Contents!$B$2=2,"people"," человек")</f>
        <v>people</v>
      </c>
      <c r="D127" s="46" t="s">
        <v>185</v>
      </c>
      <c r="E127" s="46" t="s">
        <v>185</v>
      </c>
      <c r="F127" s="46">
        <v>84</v>
      </c>
      <c r="G127" s="46">
        <v>108</v>
      </c>
      <c r="H127" s="46">
        <v>110</v>
      </c>
      <c r="I127" s="46">
        <v>202</v>
      </c>
      <c r="J127" s="46">
        <v>286</v>
      </c>
      <c r="K127" s="91">
        <v>665</v>
      </c>
      <c r="L127" s="91">
        <v>504</v>
      </c>
      <c r="M127" s="91">
        <v>564</v>
      </c>
      <c r="N127" s="89">
        <v>634</v>
      </c>
      <c r="O127" s="879"/>
      <c r="P127" s="558" t="str">
        <f>IF(Contents!$B$2=2,"Yes","Да")</f>
        <v>Yes</v>
      </c>
      <c r="Q127" s="38"/>
      <c r="R127" s="39"/>
      <c r="S127" s="39"/>
      <c r="T127" s="39"/>
      <c r="U127" s="39"/>
      <c r="W127" s="933">
        <v>1</v>
      </c>
      <c r="Y127" s="595"/>
    </row>
    <row r="128" spans="1:48" ht="22.5" hidden="1" customHeight="1" outlineLevel="1">
      <c r="B128" s="367" t="str">
        <f>IF(Contents!$B$2=2,"Khanty-Mansiysk Autonomous Region","Ханты-Мансийский автономный округ")</f>
        <v>Khanty-Mansiysk Autonomous Region</v>
      </c>
      <c r="C128" s="53" t="str">
        <f>IF(Contents!$B$2=2,"people"," человек")</f>
        <v>people</v>
      </c>
      <c r="D128" s="46" t="s">
        <v>185</v>
      </c>
      <c r="E128" s="46" t="s">
        <v>185</v>
      </c>
      <c r="F128" s="46">
        <v>0</v>
      </c>
      <c r="G128" s="46">
        <v>67</v>
      </c>
      <c r="H128" s="46">
        <v>64</v>
      </c>
      <c r="I128" s="46">
        <v>62</v>
      </c>
      <c r="J128" s="46">
        <v>64</v>
      </c>
      <c r="K128" s="91">
        <v>66</v>
      </c>
      <c r="L128" s="91">
        <v>63</v>
      </c>
      <c r="M128" s="91">
        <v>64</v>
      </c>
      <c r="N128" s="89">
        <v>61</v>
      </c>
      <c r="O128" s="879"/>
      <c r="P128" s="558" t="str">
        <f>IF(Contents!$B$2=2,"Yes","Да")</f>
        <v>Yes</v>
      </c>
      <c r="Q128" s="38"/>
      <c r="R128" s="39"/>
      <c r="S128" s="39"/>
      <c r="T128" s="39"/>
      <c r="U128" s="39"/>
      <c r="W128" s="933">
        <v>1</v>
      </c>
      <c r="Y128" s="595"/>
    </row>
    <row r="129" spans="1:48" ht="22.5" hidden="1" customHeight="1" outlineLevel="1">
      <c r="B129" s="367" t="str">
        <f>IF(Contents!$B$2=2,"Perm Territory","Пермский край")</f>
        <v>Perm Territory</v>
      </c>
      <c r="C129" s="53" t="str">
        <f>IF(Contents!$B$2=2,"people"," человек")</f>
        <v>people</v>
      </c>
      <c r="D129" s="46" t="s">
        <v>185</v>
      </c>
      <c r="E129" s="46" t="s">
        <v>185</v>
      </c>
      <c r="F129" s="46">
        <v>17</v>
      </c>
      <c r="G129" s="46">
        <v>19</v>
      </c>
      <c r="H129" s="46">
        <v>19</v>
      </c>
      <c r="I129" s="46">
        <v>19</v>
      </c>
      <c r="J129" s="46">
        <v>19</v>
      </c>
      <c r="K129" s="91">
        <v>19</v>
      </c>
      <c r="L129" s="91">
        <v>19</v>
      </c>
      <c r="M129" s="91">
        <v>19</v>
      </c>
      <c r="N129" s="89">
        <v>19</v>
      </c>
      <c r="O129" s="879"/>
      <c r="P129" s="558" t="str">
        <f>IF(Contents!$B$2=2,"Yes","Да")</f>
        <v>Yes</v>
      </c>
      <c r="Q129" s="38"/>
      <c r="R129" s="39"/>
      <c r="S129" s="39"/>
      <c r="T129" s="39"/>
      <c r="U129" s="39"/>
      <c r="W129" s="933">
        <v>1</v>
      </c>
      <c r="Y129" s="595"/>
    </row>
    <row r="130" spans="1:48" ht="22.5" hidden="1" customHeight="1" outlineLevel="1">
      <c r="B130" s="367" t="str">
        <f>IF(Contents!$B$2=2,"Astrakhan Region","Астраханская область")</f>
        <v>Astrakhan Region</v>
      </c>
      <c r="C130" s="53" t="str">
        <f>IF(Contents!$B$2=2,"people"," человек")</f>
        <v>people</v>
      </c>
      <c r="D130" s="46" t="s">
        <v>185</v>
      </c>
      <c r="E130" s="46" t="s">
        <v>185</v>
      </c>
      <c r="F130" s="46">
        <v>18</v>
      </c>
      <c r="G130" s="46">
        <v>18</v>
      </c>
      <c r="H130" s="46">
        <v>19</v>
      </c>
      <c r="I130" s="46">
        <v>20</v>
      </c>
      <c r="J130" s="46">
        <v>20</v>
      </c>
      <c r="K130" s="91">
        <v>21</v>
      </c>
      <c r="L130" s="91">
        <v>24</v>
      </c>
      <c r="M130" s="91">
        <v>24</v>
      </c>
      <c r="N130" s="89">
        <v>24</v>
      </c>
      <c r="O130" s="879"/>
      <c r="P130" s="558" t="str">
        <f>IF(Contents!$B$2=2,"Yes","Да")</f>
        <v>Yes</v>
      </c>
      <c r="Q130" s="38"/>
      <c r="R130" s="39"/>
      <c r="S130" s="39"/>
      <c r="T130" s="39"/>
      <c r="U130" s="39"/>
      <c r="W130" s="933">
        <v>1</v>
      </c>
      <c r="Y130" s="595"/>
    </row>
    <row r="131" spans="1:48" ht="22.5" hidden="1" customHeight="1" outlineLevel="1">
      <c r="B131" s="367" t="str">
        <f>IF(Contents!$B$2=2,"Krasnodar Territory","Краснодарский край")</f>
        <v>Krasnodar Territory</v>
      </c>
      <c r="C131" s="53" t="str">
        <f>IF(Contents!$B$2=2,"people"," человек")</f>
        <v>people</v>
      </c>
      <c r="D131" s="46" t="s">
        <v>185</v>
      </c>
      <c r="E131" s="46" t="s">
        <v>185</v>
      </c>
      <c r="F131" s="46">
        <v>0</v>
      </c>
      <c r="G131" s="46">
        <v>4</v>
      </c>
      <c r="H131" s="46">
        <v>4</v>
      </c>
      <c r="I131" s="46">
        <v>4</v>
      </c>
      <c r="J131" s="46">
        <v>2</v>
      </c>
      <c r="K131" s="91">
        <v>3</v>
      </c>
      <c r="L131" s="91">
        <v>1</v>
      </c>
      <c r="M131" s="91">
        <v>0</v>
      </c>
      <c r="N131" s="89">
        <v>0</v>
      </c>
      <c r="O131" s="879"/>
      <c r="P131" s="558" t="str">
        <f>IF(Contents!$B$2=2,"Yes","Да")</f>
        <v>Yes</v>
      </c>
      <c r="Q131" s="38"/>
      <c r="R131" s="39"/>
      <c r="S131" s="39"/>
      <c r="T131" s="39"/>
      <c r="U131" s="39"/>
      <c r="W131" s="933">
        <v>1</v>
      </c>
      <c r="Y131" s="595"/>
    </row>
    <row r="132" spans="1:48" ht="22.5" hidden="1" customHeight="1" outlineLevel="1">
      <c r="B132" s="367" t="str">
        <f>IF(Contents!$B$2=2,"Samara Region","Самарская область")</f>
        <v>Samara Region</v>
      </c>
      <c r="C132" s="53" t="str">
        <f>IF(Contents!$B$2=2,"people"," человек")</f>
        <v>people</v>
      </c>
      <c r="D132" s="46" t="s">
        <v>185</v>
      </c>
      <c r="E132" s="46" t="s">
        <v>185</v>
      </c>
      <c r="F132" s="46">
        <v>3</v>
      </c>
      <c r="G132" s="46">
        <v>3</v>
      </c>
      <c r="H132" s="46">
        <v>5</v>
      </c>
      <c r="I132" s="46">
        <v>8</v>
      </c>
      <c r="J132" s="46">
        <v>17</v>
      </c>
      <c r="K132" s="91">
        <v>18</v>
      </c>
      <c r="L132" s="91">
        <v>22</v>
      </c>
      <c r="M132" s="91">
        <v>33</v>
      </c>
      <c r="N132" s="89">
        <v>35</v>
      </c>
      <c r="O132" s="879"/>
      <c r="P132" s="558" t="str">
        <f>IF(Contents!$B$2=2,"Yes","Да")</f>
        <v>Yes</v>
      </c>
      <c r="Q132" s="38"/>
      <c r="R132" s="39"/>
      <c r="S132" s="39"/>
      <c r="T132" s="39"/>
      <c r="U132" s="39"/>
      <c r="W132" s="933">
        <v>1</v>
      </c>
      <c r="Y132" s="595"/>
    </row>
    <row r="133" spans="1:48" ht="22.5" hidden="1" customHeight="1" outlineLevel="1">
      <c r="B133" s="367" t="str">
        <f>IF(Contents!$B$2=2,"Arkhangelsk Region","Архангельская область")</f>
        <v>Arkhangelsk Region</v>
      </c>
      <c r="C133" s="53" t="str">
        <f>IF(Contents!$B$2=2,"people"," человек")</f>
        <v>people</v>
      </c>
      <c r="D133" s="46" t="s">
        <v>185</v>
      </c>
      <c r="E133" s="46" t="s">
        <v>185</v>
      </c>
      <c r="F133" s="46">
        <v>2</v>
      </c>
      <c r="G133" s="46">
        <v>2</v>
      </c>
      <c r="H133" s="46">
        <v>2</v>
      </c>
      <c r="I133" s="46">
        <v>2</v>
      </c>
      <c r="J133" s="46">
        <v>2</v>
      </c>
      <c r="K133" s="91">
        <v>2</v>
      </c>
      <c r="L133" s="91">
        <v>2</v>
      </c>
      <c r="M133" s="91">
        <v>2</v>
      </c>
      <c r="N133" s="89">
        <v>3</v>
      </c>
      <c r="O133" s="879"/>
      <c r="P133" s="558" t="str">
        <f>IF(Contents!$B$2=2,"Yes","Да")</f>
        <v>Yes</v>
      </c>
      <c r="Q133" s="38"/>
      <c r="R133" s="39"/>
      <c r="S133" s="39"/>
      <c r="T133" s="39"/>
      <c r="U133" s="39"/>
      <c r="W133" s="933">
        <v>1</v>
      </c>
      <c r="Y133" s="595"/>
    </row>
    <row r="134" spans="1:48" ht="22.5" hidden="1" customHeight="1" outlineLevel="1">
      <c r="B134" s="367" t="str">
        <f>IF(Contents!$B$2=2,"Kamchatka Territory","Камчатский край")</f>
        <v>Kamchatka Territory</v>
      </c>
      <c r="C134" s="53" t="str">
        <f>IF(Contents!$B$2=2,"people"," человек")</f>
        <v>people</v>
      </c>
      <c r="D134" s="46" t="s">
        <v>185</v>
      </c>
      <c r="E134" s="46" t="s">
        <v>185</v>
      </c>
      <c r="F134" s="46">
        <v>0</v>
      </c>
      <c r="G134" s="46">
        <v>1</v>
      </c>
      <c r="H134" s="46">
        <v>2</v>
      </c>
      <c r="I134" s="46">
        <v>3</v>
      </c>
      <c r="J134" s="46">
        <v>14</v>
      </c>
      <c r="K134" s="91">
        <v>19</v>
      </c>
      <c r="L134" s="91">
        <v>42</v>
      </c>
      <c r="M134" s="91">
        <v>87</v>
      </c>
      <c r="N134" s="89">
        <v>96</v>
      </c>
      <c r="O134" s="879"/>
      <c r="P134" s="558" t="str">
        <f>IF(Contents!$B$2=2,"Yes","Да")</f>
        <v>Yes</v>
      </c>
      <c r="Q134" s="38"/>
      <c r="R134" s="39"/>
      <c r="S134" s="39"/>
      <c r="T134" s="39"/>
      <c r="U134" s="39"/>
      <c r="W134" s="933">
        <v>1</v>
      </c>
      <c r="Y134" s="595"/>
    </row>
    <row r="135" spans="1:48" ht="22.5" hidden="1" customHeight="1" outlineLevel="1">
      <c r="B135" s="367" t="str">
        <f>IF(Contents!$B$2=2,"Republic of Bashkortostan","Республика Башкортостан")</f>
        <v>Republic of Bashkortostan</v>
      </c>
      <c r="C135" s="53" t="str">
        <f>IF(Contents!$B$2=2,"people"," человек")</f>
        <v>people</v>
      </c>
      <c r="D135" s="46" t="s">
        <v>185</v>
      </c>
      <c r="E135" s="46" t="s">
        <v>185</v>
      </c>
      <c r="F135" s="46">
        <v>0</v>
      </c>
      <c r="G135" s="46">
        <v>0</v>
      </c>
      <c r="H135" s="46">
        <v>9</v>
      </c>
      <c r="I135" s="46">
        <v>20</v>
      </c>
      <c r="J135" s="46">
        <v>17</v>
      </c>
      <c r="K135" s="91">
        <v>20</v>
      </c>
      <c r="L135" s="91">
        <v>18</v>
      </c>
      <c r="M135" s="91">
        <v>22</v>
      </c>
      <c r="N135" s="89">
        <v>21</v>
      </c>
      <c r="O135" s="879"/>
      <c r="P135" s="558" t="str">
        <f>IF(Contents!$B$2=2,"Yes","Да")</f>
        <v>Yes</v>
      </c>
      <c r="Q135" s="38"/>
      <c r="R135" s="39"/>
      <c r="S135" s="39"/>
      <c r="T135" s="39"/>
      <c r="U135" s="39"/>
      <c r="W135" s="933">
        <v>1</v>
      </c>
      <c r="Y135" s="595"/>
    </row>
    <row r="136" spans="1:48" ht="22.5" hidden="1" customHeight="1" outlineLevel="1">
      <c r="B136" s="367" t="str">
        <f>IF(Contents!$B$2=2,"Novosibirsk Region","Новосибирская область")</f>
        <v>Novosibirsk Region</v>
      </c>
      <c r="C136" s="53" t="str">
        <f>IF(Contents!$B$2=2,"people"," человек")</f>
        <v>people</v>
      </c>
      <c r="D136" s="46" t="s">
        <v>185</v>
      </c>
      <c r="E136" s="46" t="s">
        <v>185</v>
      </c>
      <c r="F136" s="46">
        <v>0</v>
      </c>
      <c r="G136" s="46">
        <v>0</v>
      </c>
      <c r="H136" s="46">
        <v>1</v>
      </c>
      <c r="I136" s="46">
        <v>1</v>
      </c>
      <c r="J136" s="46">
        <v>1</v>
      </c>
      <c r="K136" s="91">
        <v>0</v>
      </c>
      <c r="L136" s="91">
        <v>0</v>
      </c>
      <c r="M136" s="91">
        <v>0</v>
      </c>
      <c r="N136" s="89">
        <v>0</v>
      </c>
      <c r="O136" s="879"/>
      <c r="P136" s="558" t="str">
        <f>IF(Contents!$B$2=2,"Yes","Да")</f>
        <v>Yes</v>
      </c>
      <c r="Q136" s="38"/>
      <c r="R136" s="39"/>
      <c r="S136" s="39"/>
      <c r="T136" s="39"/>
      <c r="U136" s="39"/>
      <c r="W136" s="933">
        <v>1</v>
      </c>
      <c r="Y136" s="595"/>
    </row>
    <row r="137" spans="1:48" s="375" customFormat="1" ht="22.5" hidden="1" customHeight="1" outlineLevel="1">
      <c r="A137" s="14"/>
      <c r="B137" s="367" t="str">
        <f>IF(Contents!$B$2=2,"Stavropol Territory","Ставропольский край")</f>
        <v>Stavropol Territory</v>
      </c>
      <c r="C137" s="53" t="str">
        <f>IF(Contents!$B$2=2,"people"," человек")</f>
        <v>people</v>
      </c>
      <c r="D137" s="373" t="s">
        <v>185</v>
      </c>
      <c r="E137" s="373" t="s">
        <v>185</v>
      </c>
      <c r="F137" s="100">
        <v>0</v>
      </c>
      <c r="G137" s="100">
        <v>0</v>
      </c>
      <c r="H137" s="100">
        <v>0</v>
      </c>
      <c r="I137" s="139">
        <v>0</v>
      </c>
      <c r="J137" s="101">
        <v>0</v>
      </c>
      <c r="K137" s="139">
        <v>0</v>
      </c>
      <c r="L137" s="139">
        <v>0</v>
      </c>
      <c r="M137" s="139">
        <v>0</v>
      </c>
      <c r="N137" s="89">
        <v>0</v>
      </c>
      <c r="O137" s="879"/>
      <c r="P137" s="558" t="str">
        <f>IF(Contents!$B$2=2,"Yes","Да")</f>
        <v>Yes</v>
      </c>
      <c r="Q137" s="38"/>
      <c r="R137" s="39"/>
      <c r="S137" s="39"/>
      <c r="T137" s="39"/>
      <c r="U137" s="39"/>
      <c r="V137" s="589"/>
      <c r="W137" s="933">
        <v>1</v>
      </c>
      <c r="X137" s="589"/>
      <c r="Y137" s="595"/>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row>
    <row r="138" spans="1:48" ht="22.5" hidden="1" customHeight="1" outlineLevel="1">
      <c r="B138" s="367" t="str">
        <f>IF(Contents!$B$2=2,"Sverdlovsk Region","Свердловская область")</f>
        <v>Sverdlovsk Region</v>
      </c>
      <c r="C138" s="53" t="str">
        <f>IF(Contents!$B$2=2,"people"," человек")</f>
        <v>people</v>
      </c>
      <c r="D138" s="46" t="s">
        <v>185</v>
      </c>
      <c r="E138" s="46" t="s">
        <v>185</v>
      </c>
      <c r="F138" s="46">
        <v>0</v>
      </c>
      <c r="G138" s="46">
        <v>0</v>
      </c>
      <c r="H138" s="46">
        <v>0</v>
      </c>
      <c r="I138" s="46">
        <v>10</v>
      </c>
      <c r="J138" s="46">
        <v>12</v>
      </c>
      <c r="K138" s="91">
        <v>20</v>
      </c>
      <c r="L138" s="91">
        <v>21</v>
      </c>
      <c r="M138" s="91">
        <v>15</v>
      </c>
      <c r="N138" s="89">
        <v>14</v>
      </c>
      <c r="O138" s="879"/>
      <c r="P138" s="558" t="str">
        <f>IF(Contents!$B$2=2,"Yes","Да")</f>
        <v>Yes</v>
      </c>
      <c r="Q138" s="38"/>
      <c r="R138" s="39"/>
      <c r="S138" s="39"/>
      <c r="T138" s="39"/>
      <c r="U138" s="39"/>
      <c r="W138" s="933">
        <v>1</v>
      </c>
      <c r="Y138" s="595"/>
    </row>
    <row r="139" spans="1:48" ht="22.5" hidden="1" customHeight="1" outlineLevel="1">
      <c r="B139" s="367" t="str">
        <f>IF(Contents!$B$2=2,"Tver region","Тверская область")</f>
        <v>Tver region</v>
      </c>
      <c r="C139" s="53" t="str">
        <f>IF(Contents!$B$2=2,"people"," человек")</f>
        <v>people</v>
      </c>
      <c r="D139" s="46" t="s">
        <v>185</v>
      </c>
      <c r="E139" s="46" t="s">
        <v>185</v>
      </c>
      <c r="F139" s="46">
        <v>0</v>
      </c>
      <c r="G139" s="46">
        <v>0</v>
      </c>
      <c r="H139" s="46">
        <v>0</v>
      </c>
      <c r="I139" s="46">
        <v>6</v>
      </c>
      <c r="J139" s="46">
        <v>9</v>
      </c>
      <c r="K139" s="91">
        <v>9</v>
      </c>
      <c r="L139" s="91">
        <v>9</v>
      </c>
      <c r="M139" s="91">
        <v>9</v>
      </c>
      <c r="N139" s="89">
        <v>10</v>
      </c>
      <c r="O139" s="879"/>
      <c r="P139" s="558" t="str">
        <f>IF(Contents!$B$2=2,"Yes","Да")</f>
        <v>Yes</v>
      </c>
      <c r="Q139" s="38"/>
      <c r="R139" s="39"/>
      <c r="S139" s="39"/>
      <c r="T139" s="39"/>
      <c r="U139" s="39"/>
      <c r="W139" s="933">
        <v>1</v>
      </c>
      <c r="Y139" s="595"/>
    </row>
    <row r="140" spans="1:48" ht="22.5" hidden="1" customHeight="1" outlineLevel="1">
      <c r="B140" s="367" t="str">
        <f>IF(Contents!$B$2=2,"Tula Region","Тульская область")</f>
        <v>Tula Region</v>
      </c>
      <c r="C140" s="53" t="str">
        <f>IF(Contents!$B$2=2,"people"," человек")</f>
        <v>people</v>
      </c>
      <c r="D140" s="46" t="s">
        <v>185</v>
      </c>
      <c r="E140" s="46" t="s">
        <v>185</v>
      </c>
      <c r="F140" s="46">
        <v>0</v>
      </c>
      <c r="G140" s="46">
        <v>0</v>
      </c>
      <c r="H140" s="46">
        <v>0</v>
      </c>
      <c r="I140" s="46">
        <v>6</v>
      </c>
      <c r="J140" s="46">
        <v>7</v>
      </c>
      <c r="K140" s="91">
        <v>9</v>
      </c>
      <c r="L140" s="91">
        <v>9</v>
      </c>
      <c r="M140" s="91">
        <v>9</v>
      </c>
      <c r="N140" s="89">
        <v>9</v>
      </c>
      <c r="O140" s="879"/>
      <c r="P140" s="558" t="str">
        <f>IF(Contents!$B$2=2,"Yes","Да")</f>
        <v>Yes</v>
      </c>
      <c r="Q140" s="38"/>
      <c r="R140" s="39"/>
      <c r="S140" s="39"/>
      <c r="T140" s="39"/>
      <c r="U140" s="39"/>
      <c r="W140" s="933">
        <v>1</v>
      </c>
      <c r="Y140" s="595"/>
    </row>
    <row r="141" spans="1:48" ht="22.5" hidden="1" customHeight="1" outlineLevel="1">
      <c r="B141" s="367" t="str">
        <f>IF(Contents!$B$2=2,"Republic of Tatarstan","Республика Татарстан")</f>
        <v>Republic of Tatarstan</v>
      </c>
      <c r="C141" s="53" t="str">
        <f>IF(Contents!$B$2=2,"people"," человек")</f>
        <v>people</v>
      </c>
      <c r="D141" s="46" t="s">
        <v>185</v>
      </c>
      <c r="E141" s="46" t="s">
        <v>185</v>
      </c>
      <c r="F141" s="46">
        <v>0</v>
      </c>
      <c r="G141" s="46">
        <v>0</v>
      </c>
      <c r="H141" s="46">
        <v>0</v>
      </c>
      <c r="I141" s="46">
        <v>1</v>
      </c>
      <c r="J141" s="46">
        <v>6</v>
      </c>
      <c r="K141" s="91">
        <v>9</v>
      </c>
      <c r="L141" s="91">
        <v>9</v>
      </c>
      <c r="M141" s="91">
        <v>9</v>
      </c>
      <c r="N141" s="89">
        <v>6</v>
      </c>
      <c r="O141" s="879"/>
      <c r="P141" s="558" t="str">
        <f>IF(Contents!$B$2=2,"Yes","Да")</f>
        <v>Yes</v>
      </c>
      <c r="Q141" s="38"/>
      <c r="R141" s="39"/>
      <c r="S141" s="39"/>
      <c r="T141" s="39"/>
      <c r="U141" s="39"/>
      <c r="W141" s="933">
        <v>1</v>
      </c>
      <c r="Y141" s="595"/>
    </row>
    <row r="142" spans="1:48" ht="22.5" hidden="1" customHeight="1" outlineLevel="1">
      <c r="B142" s="367" t="str">
        <f>IF(Contents!$B$2=2,"Vladimir Region","Владимирская область")</f>
        <v>Vladimir Region</v>
      </c>
      <c r="C142" s="53" t="str">
        <f>IF(Contents!$B$2=2,"people"," человек")</f>
        <v>people</v>
      </c>
      <c r="D142" s="46" t="s">
        <v>185</v>
      </c>
      <c r="E142" s="46" t="s">
        <v>185</v>
      </c>
      <c r="F142" s="46">
        <v>0</v>
      </c>
      <c r="G142" s="46">
        <v>0</v>
      </c>
      <c r="H142" s="46">
        <v>0</v>
      </c>
      <c r="I142" s="46">
        <v>0</v>
      </c>
      <c r="J142" s="46">
        <v>0</v>
      </c>
      <c r="K142" s="91">
        <v>10</v>
      </c>
      <c r="L142" s="91">
        <v>10</v>
      </c>
      <c r="M142" s="91">
        <v>10</v>
      </c>
      <c r="N142" s="89">
        <v>15</v>
      </c>
      <c r="O142" s="879"/>
      <c r="P142" s="558" t="str">
        <f>IF(Contents!$B$2=2,"Yes","Да")</f>
        <v>Yes</v>
      </c>
      <c r="Q142" s="38"/>
      <c r="R142" s="39"/>
      <c r="S142" s="39"/>
      <c r="T142" s="39"/>
      <c r="U142" s="39"/>
      <c r="W142" s="933">
        <v>1</v>
      </c>
      <c r="Y142" s="595"/>
    </row>
    <row r="143" spans="1:48" ht="22.5" hidden="1" customHeight="1" outlineLevel="1">
      <c r="B143" s="367" t="str">
        <f>IF(Contents!$B$2=2,"Penza Region","Пензенская область")</f>
        <v>Penza Region</v>
      </c>
      <c r="C143" s="53" t="str">
        <f>IF(Contents!$B$2=2,"people"," человек")</f>
        <v>people</v>
      </c>
      <c r="D143" s="46" t="s">
        <v>185</v>
      </c>
      <c r="E143" s="46" t="s">
        <v>185</v>
      </c>
      <c r="F143" s="46">
        <v>0</v>
      </c>
      <c r="G143" s="46">
        <v>0</v>
      </c>
      <c r="H143" s="46">
        <v>0</v>
      </c>
      <c r="I143" s="46">
        <v>0</v>
      </c>
      <c r="J143" s="46">
        <v>0</v>
      </c>
      <c r="K143" s="46">
        <v>0</v>
      </c>
      <c r="L143" s="91">
        <v>6</v>
      </c>
      <c r="M143" s="91">
        <v>6</v>
      </c>
      <c r="N143" s="89">
        <v>6</v>
      </c>
      <c r="O143" s="879"/>
      <c r="P143" s="558" t="str">
        <f>IF(Contents!$B$2=2,"Yes","Да")</f>
        <v>Yes</v>
      </c>
      <c r="Q143" s="38"/>
      <c r="R143" s="39"/>
      <c r="S143" s="39"/>
      <c r="T143" s="39"/>
      <c r="U143" s="39"/>
      <c r="W143" s="933">
        <v>1</v>
      </c>
      <c r="Y143" s="595"/>
    </row>
    <row r="144" spans="1:48" ht="22.5" hidden="1" customHeight="1" outlineLevel="1">
      <c r="B144" s="368" t="str">
        <f>IF(Contents!$B$2=2,"Nizhny Novgorod region","Нижегородская область")</f>
        <v>Nizhny Novgorod region</v>
      </c>
      <c r="C144" s="53" t="str">
        <f>IF(Contents!$B$2=2,"people"," человек")</f>
        <v>people</v>
      </c>
      <c r="D144" s="46" t="s">
        <v>185</v>
      </c>
      <c r="E144" s="46" t="s">
        <v>185</v>
      </c>
      <c r="F144" s="46">
        <v>0</v>
      </c>
      <c r="G144" s="46">
        <v>0</v>
      </c>
      <c r="H144" s="46">
        <v>0</v>
      </c>
      <c r="I144" s="46">
        <v>0</v>
      </c>
      <c r="J144" s="46">
        <v>0</v>
      </c>
      <c r="K144" s="91">
        <v>0</v>
      </c>
      <c r="L144" s="91">
        <v>0</v>
      </c>
      <c r="M144" s="91">
        <v>6</v>
      </c>
      <c r="N144" s="89">
        <v>6</v>
      </c>
      <c r="O144" s="879"/>
      <c r="P144" s="558" t="str">
        <f>IF(Contents!$B$2=2,"Yes","Да")</f>
        <v>Yes</v>
      </c>
      <c r="Q144" s="38"/>
      <c r="R144" s="39"/>
      <c r="S144" s="39"/>
      <c r="T144" s="39"/>
      <c r="U144" s="39"/>
      <c r="W144" s="933">
        <v>1</v>
      </c>
      <c r="Y144" s="595"/>
    </row>
    <row r="145" spans="2:25" ht="22.5" hidden="1" customHeight="1" outlineLevel="1">
      <c r="B145" s="368" t="str">
        <f>IF(Contents!$B$2=2,"Primorsky Krai","Приморский край")</f>
        <v>Primorsky Krai</v>
      </c>
      <c r="C145" s="53" t="str">
        <f>IF(Contents!$B$2=2,"people"," человек")</f>
        <v>people</v>
      </c>
      <c r="D145" s="46" t="s">
        <v>185</v>
      </c>
      <c r="E145" s="46" t="s">
        <v>185</v>
      </c>
      <c r="F145" s="46">
        <v>0</v>
      </c>
      <c r="G145" s="46">
        <v>0</v>
      </c>
      <c r="H145" s="46">
        <v>0</v>
      </c>
      <c r="I145" s="46">
        <v>0</v>
      </c>
      <c r="J145" s="46">
        <v>0</v>
      </c>
      <c r="K145" s="91">
        <v>0</v>
      </c>
      <c r="L145" s="91">
        <v>0</v>
      </c>
      <c r="M145" s="91">
        <v>188</v>
      </c>
      <c r="N145" s="89">
        <v>168</v>
      </c>
      <c r="O145" s="879"/>
      <c r="P145" s="558" t="str">
        <f>IF(Contents!$B$2=2,"Yes","Да")</f>
        <v>Yes</v>
      </c>
      <c r="Q145" s="38"/>
      <c r="R145" s="39"/>
      <c r="S145" s="39"/>
      <c r="T145" s="39"/>
      <c r="U145" s="39"/>
      <c r="W145" s="933">
        <v>1</v>
      </c>
      <c r="Y145" s="595"/>
    </row>
    <row r="146" spans="2:25" ht="22.5" hidden="1" customHeight="1" outlineLevel="1">
      <c r="B146" s="368" t="str">
        <f>IF(Contents!$B$2=2,"Republic of Mari El","Республика Марий Эл")</f>
        <v>Republic of Mari El</v>
      </c>
      <c r="C146" s="53" t="str">
        <f>IF(Contents!$B$2=2,"people"," человек")</f>
        <v>people</v>
      </c>
      <c r="D146" s="46" t="s">
        <v>185</v>
      </c>
      <c r="E146" s="46" t="s">
        <v>185</v>
      </c>
      <c r="F146" s="46">
        <v>0</v>
      </c>
      <c r="G146" s="46">
        <v>0</v>
      </c>
      <c r="H146" s="46">
        <v>0</v>
      </c>
      <c r="I146" s="46">
        <v>1</v>
      </c>
      <c r="J146" s="46">
        <v>0</v>
      </c>
      <c r="K146" s="91">
        <v>0</v>
      </c>
      <c r="L146" s="91">
        <v>0</v>
      </c>
      <c r="M146" s="91">
        <v>0</v>
      </c>
      <c r="N146" s="89">
        <v>0</v>
      </c>
      <c r="O146" s="879"/>
      <c r="P146" s="558" t="str">
        <f>IF(Contents!$B$2=2,"Yes","Да")</f>
        <v>Yes</v>
      </c>
      <c r="Q146" s="38"/>
      <c r="R146" s="39"/>
      <c r="S146" s="39"/>
      <c r="T146" s="39"/>
      <c r="U146" s="39"/>
      <c r="W146" s="933">
        <v>1</v>
      </c>
      <c r="Y146" s="595"/>
    </row>
    <row r="147" spans="2:25" ht="22.35" hidden="1" customHeight="1" outlineLevel="1">
      <c r="B147" s="368" t="str">
        <f>IF(Contents!$B$2=2,"Chuvash Republic","Чувашская республика")</f>
        <v>Chuvash Republic</v>
      </c>
      <c r="C147" s="53" t="str">
        <f>IF(Contents!$B$2=2,"people"," человек")</f>
        <v>people</v>
      </c>
      <c r="D147" s="46" t="s">
        <v>185</v>
      </c>
      <c r="E147" s="46" t="s">
        <v>185</v>
      </c>
      <c r="F147" s="90" t="s">
        <v>185</v>
      </c>
      <c r="G147" s="90" t="s">
        <v>185</v>
      </c>
      <c r="H147" s="90" t="s">
        <v>185</v>
      </c>
      <c r="I147" s="46" t="s">
        <v>185</v>
      </c>
      <c r="J147" s="46" t="s">
        <v>185</v>
      </c>
      <c r="K147" s="46" t="s">
        <v>185</v>
      </c>
      <c r="L147" s="46" t="s">
        <v>185</v>
      </c>
      <c r="M147" s="46" t="s">
        <v>185</v>
      </c>
      <c r="N147" s="89">
        <v>9</v>
      </c>
      <c r="O147" s="879"/>
      <c r="P147" s="558" t="str">
        <f>IF(Contents!$B$2=2,"Yes","Да")</f>
        <v>Yes</v>
      </c>
      <c r="Q147" s="38"/>
      <c r="R147" s="39"/>
      <c r="S147" s="39"/>
      <c r="T147" s="39"/>
      <c r="U147" s="39"/>
      <c r="W147" s="933">
        <v>1</v>
      </c>
      <c r="Y147" s="595"/>
    </row>
    <row r="148" spans="2:25" ht="22.5" customHeight="1" collapsed="1">
      <c r="B148" s="78" t="str">
        <f>IF(Contents!$B$2=2,"Other countries","Прочие страны")</f>
        <v>Other countries</v>
      </c>
      <c r="C148" s="53" t="str">
        <f>IF(Contents!$B$2=2,"people"," человек")</f>
        <v>people</v>
      </c>
      <c r="D148" s="46" t="s">
        <v>185</v>
      </c>
      <c r="E148" s="46" t="s">
        <v>185</v>
      </c>
      <c r="F148" s="46">
        <v>95</v>
      </c>
      <c r="G148" s="46">
        <v>103</v>
      </c>
      <c r="H148" s="46">
        <v>145</v>
      </c>
      <c r="I148" s="46">
        <v>182</v>
      </c>
      <c r="J148" s="46">
        <v>209</v>
      </c>
      <c r="K148" s="91">
        <v>100</v>
      </c>
      <c r="L148" s="91">
        <v>104</v>
      </c>
      <c r="M148" s="91">
        <v>119</v>
      </c>
      <c r="N148" s="89">
        <v>125</v>
      </c>
      <c r="O148" s="879"/>
      <c r="P148" s="558" t="str">
        <f>IF(Contents!$B$2=2,"Yes","Да")</f>
        <v>Yes</v>
      </c>
      <c r="Q148" s="38"/>
      <c r="R148" s="39"/>
      <c r="S148" s="39"/>
      <c r="T148" s="39"/>
      <c r="U148" s="39"/>
      <c r="W148" s="933">
        <v>1</v>
      </c>
      <c r="Y148" s="595"/>
    </row>
    <row r="149" spans="2:25" ht="22.5" customHeight="1">
      <c r="B149" s="78"/>
      <c r="C149" s="53"/>
      <c r="D149" s="377"/>
      <c r="E149" s="377"/>
      <c r="F149" s="377"/>
      <c r="G149" s="377"/>
      <c r="H149" s="377"/>
      <c r="I149" s="377"/>
      <c r="J149" s="377"/>
      <c r="K149" s="377"/>
      <c r="L149" s="377"/>
      <c r="M149" s="377"/>
      <c r="N149" s="377"/>
      <c r="O149" s="29"/>
      <c r="P149" s="558"/>
      <c r="Q149" s="29"/>
      <c r="R149" s="39"/>
      <c r="S149" s="39"/>
      <c r="T149" s="39"/>
      <c r="U149" s="39"/>
      <c r="Y149" s="595"/>
    </row>
    <row r="150" spans="2:25" ht="34.5" customHeight="1">
      <c r="B150" s="371" t="str">
        <f>IF(Contents!$B$2=2,"Fixed-term employment contract","Срочный договор")</f>
        <v>Fixed-term employment contract</v>
      </c>
      <c r="C150" s="49" t="str">
        <f>IF(Contents!$B$2=2,"people"," человек")</f>
        <v>people</v>
      </c>
      <c r="D150" s="372">
        <v>785</v>
      </c>
      <c r="E150" s="372">
        <v>1013</v>
      </c>
      <c r="F150" s="372">
        <v>1166</v>
      </c>
      <c r="G150" s="372">
        <v>1100</v>
      </c>
      <c r="H150" s="372">
        <v>1405</v>
      </c>
      <c r="I150" s="372">
        <v>1669</v>
      </c>
      <c r="J150" s="372">
        <v>1718</v>
      </c>
      <c r="K150" s="372">
        <v>1724</v>
      </c>
      <c r="L150" s="372">
        <v>1972</v>
      </c>
      <c r="M150" s="372">
        <v>1944</v>
      </c>
      <c r="N150" s="372">
        <v>1650</v>
      </c>
      <c r="O150" s="879"/>
      <c r="P150" s="558" t="str">
        <f>IF(Contents!$B$2=2,"Yes","Да")</f>
        <v>Yes</v>
      </c>
      <c r="Q150" s="29"/>
      <c r="R150" s="39" t="s">
        <v>122</v>
      </c>
      <c r="S150" s="39"/>
      <c r="T150" s="39" t="s">
        <v>123</v>
      </c>
      <c r="U150" s="39"/>
      <c r="W150" s="933">
        <v>1</v>
      </c>
      <c r="Y150" s="595"/>
    </row>
    <row r="151" spans="2:25" ht="22.5" customHeight="1">
      <c r="B151" s="364" t="str">
        <f>IF(Contents!$B$2=2,"by gender","по полу")</f>
        <v>by gender</v>
      </c>
      <c r="C151" s="77"/>
      <c r="D151" s="111"/>
      <c r="E151" s="111"/>
      <c r="F151" s="111"/>
      <c r="G151" s="111"/>
      <c r="H151" s="111"/>
      <c r="I151" s="85"/>
      <c r="J151" s="111"/>
      <c r="K151" s="111"/>
      <c r="L151" s="111"/>
      <c r="M151" s="111"/>
      <c r="N151" s="111"/>
      <c r="O151" s="37"/>
      <c r="P151" s="39"/>
      <c r="Q151" s="29"/>
      <c r="R151" s="39" t="s">
        <v>122</v>
      </c>
      <c r="S151" s="39"/>
      <c r="T151" s="39" t="s">
        <v>123</v>
      </c>
      <c r="U151" s="39"/>
      <c r="Y151" s="595"/>
    </row>
    <row r="152" spans="2:25" ht="22.5" customHeight="1">
      <c r="B152" s="93" t="str">
        <f>IF(Contents!$B$2=2,"Male","Мужчины")</f>
        <v>Male</v>
      </c>
      <c r="C152" s="53" t="str">
        <f>IF(Contents!$B$2=2,"people"," человек")</f>
        <v>people</v>
      </c>
      <c r="D152" s="46" t="s">
        <v>185</v>
      </c>
      <c r="E152" s="46" t="s">
        <v>185</v>
      </c>
      <c r="F152" s="46">
        <v>727</v>
      </c>
      <c r="G152" s="46">
        <v>722</v>
      </c>
      <c r="H152" s="46">
        <v>955</v>
      </c>
      <c r="I152" s="38">
        <v>1144</v>
      </c>
      <c r="J152" s="38">
        <v>1142</v>
      </c>
      <c r="K152" s="38">
        <v>1164</v>
      </c>
      <c r="L152" s="38">
        <v>1357</v>
      </c>
      <c r="M152" s="38">
        <v>1354</v>
      </c>
      <c r="N152" s="89">
        <v>1119</v>
      </c>
      <c r="O152" s="879"/>
      <c r="P152" s="558" t="str">
        <f>IF(Contents!$B$2=2,"Yes","Да")</f>
        <v>Yes</v>
      </c>
      <c r="Q152" s="29"/>
      <c r="R152" s="39"/>
      <c r="S152" s="39"/>
      <c r="T152" s="39"/>
      <c r="U152" s="39"/>
      <c r="W152" s="933">
        <v>1</v>
      </c>
      <c r="Y152" s="595"/>
    </row>
    <row r="153" spans="2:25" ht="22.5" customHeight="1">
      <c r="B153" s="93" t="str">
        <f>IF(Contents!$B$2=2,"Female","Женщины")</f>
        <v>Female</v>
      </c>
      <c r="C153" s="53" t="str">
        <f>IF(Contents!$B$2=2,"people"," человек")</f>
        <v>people</v>
      </c>
      <c r="D153" s="46" t="s">
        <v>185</v>
      </c>
      <c r="E153" s="46" t="s">
        <v>185</v>
      </c>
      <c r="F153" s="46">
        <v>439</v>
      </c>
      <c r="G153" s="46">
        <v>378</v>
      </c>
      <c r="H153" s="46">
        <v>450</v>
      </c>
      <c r="I153" s="38">
        <v>525</v>
      </c>
      <c r="J153" s="38">
        <v>576</v>
      </c>
      <c r="K153" s="38">
        <v>560</v>
      </c>
      <c r="L153" s="38">
        <v>615</v>
      </c>
      <c r="M153" s="38">
        <v>590</v>
      </c>
      <c r="N153" s="89">
        <v>531</v>
      </c>
      <c r="O153" s="879"/>
      <c r="P153" s="558" t="str">
        <f>IF(Contents!$B$2=2,"Yes","Да")</f>
        <v>Yes</v>
      </c>
      <c r="Q153" s="29"/>
      <c r="R153" s="39"/>
      <c r="S153" s="39"/>
      <c r="T153" s="39"/>
      <c r="U153" s="39"/>
      <c r="W153" s="933">
        <v>1</v>
      </c>
      <c r="Y153" s="595"/>
    </row>
    <row r="154" spans="2:25" ht="22.5" customHeight="1">
      <c r="B154" s="23" t="str">
        <f>IF(Contents!$B$2=2,"by region","по региону")</f>
        <v>by region</v>
      </c>
      <c r="C154" s="77"/>
      <c r="D154" s="111"/>
      <c r="E154" s="111"/>
      <c r="F154" s="111"/>
      <c r="G154" s="111"/>
      <c r="H154" s="111"/>
      <c r="I154" s="85"/>
      <c r="J154" s="111"/>
      <c r="K154" s="111"/>
      <c r="L154" s="111"/>
      <c r="M154" s="111"/>
      <c r="N154" s="111"/>
      <c r="O154" s="37"/>
      <c r="P154" s="558"/>
      <c r="Q154" s="29"/>
      <c r="R154" s="39" t="s">
        <v>122</v>
      </c>
      <c r="S154" s="39"/>
      <c r="T154" s="39" t="s">
        <v>123</v>
      </c>
      <c r="U154" s="39"/>
      <c r="Y154" s="595"/>
    </row>
    <row r="155" spans="2:25" ht="22.5" customHeight="1">
      <c r="B155" s="177" t="str">
        <f>IF(Contents!$B$2=2,"Russian Federation","Российская Федерация")</f>
        <v>Russian Federation</v>
      </c>
      <c r="C155" s="53" t="str">
        <f>IF(Contents!$B$2=2,"people"," человек")</f>
        <v>people</v>
      </c>
      <c r="D155" s="46" t="s">
        <v>185</v>
      </c>
      <c r="E155" s="46" t="s">
        <v>185</v>
      </c>
      <c r="F155" s="46">
        <v>1127</v>
      </c>
      <c r="G155" s="46">
        <v>1041</v>
      </c>
      <c r="H155" s="46">
        <v>1344</v>
      </c>
      <c r="I155" s="46">
        <v>1618</v>
      </c>
      <c r="J155" s="46">
        <v>1662</v>
      </c>
      <c r="K155" s="46">
        <v>1702</v>
      </c>
      <c r="L155" s="46">
        <v>1945</v>
      </c>
      <c r="M155" s="46">
        <v>1904</v>
      </c>
      <c r="N155" s="104">
        <v>1610</v>
      </c>
      <c r="O155" s="879"/>
      <c r="P155" s="558" t="str">
        <f>IF(Contents!$B$2=2,"Yes","Да")</f>
        <v>Yes</v>
      </c>
      <c r="Q155" s="29"/>
      <c r="R155" s="39"/>
      <c r="S155" s="39"/>
      <c r="T155" s="39"/>
      <c r="U155" s="39"/>
      <c r="W155" s="933">
        <v>1</v>
      </c>
      <c r="Y155" s="595"/>
    </row>
    <row r="156" spans="2:25" ht="22.5" customHeight="1">
      <c r="B156" s="207" t="str">
        <f>IF(Contents!$B$2=2,"Yamal-Nenets Autonomous Region","Ямало-Ненецкий автономный округ")</f>
        <v>Yamal-Nenets Autonomous Region</v>
      </c>
      <c r="C156" s="53" t="str">
        <f>IF(Contents!$B$2=2,"people"," человек")</f>
        <v>people</v>
      </c>
      <c r="D156" s="46" t="s">
        <v>185</v>
      </c>
      <c r="E156" s="46" t="s">
        <v>185</v>
      </c>
      <c r="F156" s="46">
        <v>544</v>
      </c>
      <c r="G156" s="46">
        <v>523</v>
      </c>
      <c r="H156" s="46">
        <v>634</v>
      </c>
      <c r="I156" s="46">
        <v>665</v>
      </c>
      <c r="J156" s="46">
        <v>565</v>
      </c>
      <c r="K156" s="38">
        <v>496</v>
      </c>
      <c r="L156" s="38">
        <v>562</v>
      </c>
      <c r="M156" s="38">
        <v>645</v>
      </c>
      <c r="N156" s="89">
        <v>514</v>
      </c>
      <c r="O156" s="879"/>
      <c r="P156" s="558" t="str">
        <f>IF(Contents!$B$2=2,"Yes","Да")</f>
        <v>Yes</v>
      </c>
      <c r="Q156" s="29"/>
      <c r="R156" s="39"/>
      <c r="S156" s="39"/>
      <c r="T156" s="39"/>
      <c r="U156" s="39"/>
      <c r="W156" s="933">
        <v>1</v>
      </c>
      <c r="Y156" s="595"/>
    </row>
    <row r="157" spans="2:25" ht="22.5" customHeight="1">
      <c r="B157" s="207" t="str">
        <f>IF(Contents!$B$2=2,"Moscow and Moscow Region","Москва и Московская область")</f>
        <v>Moscow and Moscow Region</v>
      </c>
      <c r="C157" s="53" t="str">
        <f>IF(Contents!$B$2=2,"people"," человек")</f>
        <v>people</v>
      </c>
      <c r="D157" s="46" t="s">
        <v>185</v>
      </c>
      <c r="E157" s="46" t="s">
        <v>185</v>
      </c>
      <c r="F157" s="46">
        <v>358</v>
      </c>
      <c r="G157" s="46">
        <v>299</v>
      </c>
      <c r="H157" s="46">
        <v>375</v>
      </c>
      <c r="I157" s="46">
        <v>457</v>
      </c>
      <c r="J157" s="46">
        <v>465</v>
      </c>
      <c r="K157" s="38">
        <v>491</v>
      </c>
      <c r="L157" s="38">
        <v>615</v>
      </c>
      <c r="M157" s="38">
        <v>623</v>
      </c>
      <c r="N157" s="89">
        <v>533</v>
      </c>
      <c r="O157" s="879"/>
      <c r="P157" s="558" t="str">
        <f>IF(Contents!$B$2=2,"Yes","Да")</f>
        <v>Yes</v>
      </c>
      <c r="Q157" s="29"/>
      <c r="R157" s="39"/>
      <c r="S157" s="39"/>
      <c r="T157" s="39"/>
      <c r="U157" s="39"/>
      <c r="W157" s="933">
        <v>1</v>
      </c>
      <c r="Y157" s="595"/>
    </row>
    <row r="158" spans="2:25" ht="22.5" customHeight="1">
      <c r="B158" s="207" t="str">
        <f>IF(Contents!$B$2=2,"Chelyabinsk Region","Челябинская область")</f>
        <v>Chelyabinsk Region</v>
      </c>
      <c r="C158" s="53" t="str">
        <f>IF(Contents!$B$2=2,"people"," человек")</f>
        <v>people</v>
      </c>
      <c r="D158" s="46" t="s">
        <v>185</v>
      </c>
      <c r="E158" s="46" t="s">
        <v>185</v>
      </c>
      <c r="F158" s="46">
        <v>81</v>
      </c>
      <c r="G158" s="46">
        <v>58</v>
      </c>
      <c r="H158" s="46">
        <v>57</v>
      </c>
      <c r="I158" s="46">
        <v>56</v>
      </c>
      <c r="J158" s="46">
        <v>57</v>
      </c>
      <c r="K158" s="38">
        <v>48</v>
      </c>
      <c r="L158" s="38">
        <v>45</v>
      </c>
      <c r="M158" s="38">
        <v>29</v>
      </c>
      <c r="N158" s="89">
        <v>30</v>
      </c>
      <c r="O158" s="879"/>
      <c r="P158" s="558" t="str">
        <f>IF(Contents!$B$2=2,"Yes","Да")</f>
        <v>Yes</v>
      </c>
      <c r="Q158" s="29"/>
      <c r="R158" s="39"/>
      <c r="S158" s="39"/>
      <c r="T158" s="39"/>
      <c r="U158" s="39"/>
      <c r="W158" s="933">
        <v>1</v>
      </c>
      <c r="Y158" s="595"/>
    </row>
    <row r="159" spans="2:25" ht="22.5" customHeight="1">
      <c r="B159" s="207" t="str">
        <f>IF(Contents!$B$2=2,"St. Petersburg and Leningrad Region","Санкт-Петербург и Ленинградская область")</f>
        <v>St. Petersburg and Leningrad Region</v>
      </c>
      <c r="C159" s="53" t="str">
        <f>IF(Contents!$B$2=2,"people"," человек")</f>
        <v>people</v>
      </c>
      <c r="D159" s="46" t="s">
        <v>185</v>
      </c>
      <c r="E159" s="46" t="s">
        <v>185</v>
      </c>
      <c r="F159" s="46">
        <v>30</v>
      </c>
      <c r="G159" s="46">
        <v>39</v>
      </c>
      <c r="H159" s="46">
        <v>56</v>
      </c>
      <c r="I159" s="46">
        <v>84</v>
      </c>
      <c r="J159" s="46">
        <v>100</v>
      </c>
      <c r="K159" s="38">
        <v>120</v>
      </c>
      <c r="L159" s="38">
        <v>119</v>
      </c>
      <c r="M159" s="38">
        <v>107</v>
      </c>
      <c r="N159" s="89">
        <v>120</v>
      </c>
      <c r="O159" s="879"/>
      <c r="P159" s="558" t="str">
        <f>IF(Contents!$B$2=2,"Yes","Да")</f>
        <v>Yes</v>
      </c>
      <c r="Q159" s="29"/>
      <c r="R159" s="39"/>
      <c r="S159" s="39"/>
      <c r="T159" s="39"/>
      <c r="U159" s="39"/>
      <c r="W159" s="933">
        <v>1</v>
      </c>
      <c r="Y159" s="595"/>
    </row>
    <row r="160" spans="2:25" ht="22.5" customHeight="1">
      <c r="B160" s="285" t="str">
        <f>IF(Contents!$B$2=2,"Other regions","Прочие регионы")</f>
        <v>Other regions</v>
      </c>
      <c r="C160" s="53" t="str">
        <f>IF(Contents!$B$2=2,"people"," человек")</f>
        <v>people</v>
      </c>
      <c r="D160" s="373" t="s">
        <v>185</v>
      </c>
      <c r="E160" s="46" t="s">
        <v>185</v>
      </c>
      <c r="F160" s="38">
        <v>114</v>
      </c>
      <c r="G160" s="38">
        <v>122</v>
      </c>
      <c r="H160" s="38">
        <v>222</v>
      </c>
      <c r="I160" s="38">
        <v>356</v>
      </c>
      <c r="J160" s="38">
        <v>475</v>
      </c>
      <c r="K160" s="38">
        <v>547</v>
      </c>
      <c r="L160" s="38">
        <v>604</v>
      </c>
      <c r="M160" s="38">
        <v>500</v>
      </c>
      <c r="N160" s="89">
        <v>413</v>
      </c>
      <c r="O160" s="879"/>
      <c r="P160" s="558" t="str">
        <f>IF(Contents!$B$2=2,"Yes","Да")</f>
        <v>Yes</v>
      </c>
      <c r="Q160" s="29"/>
      <c r="R160" s="39"/>
      <c r="S160" s="39"/>
      <c r="T160" s="39"/>
      <c r="U160" s="39"/>
      <c r="W160" s="933">
        <v>1</v>
      </c>
      <c r="Y160" s="595"/>
    </row>
    <row r="161" spans="2:25" ht="22.5" hidden="1" customHeight="1" outlineLevel="1">
      <c r="B161" s="367" t="str">
        <f>IF(Contents!$B$2=2,"Tyumen Region","Тюменская область")</f>
        <v>Tyumen Region</v>
      </c>
      <c r="C161" s="53" t="str">
        <f>IF(Contents!$B$2=2,"people"," человек")</f>
        <v>people</v>
      </c>
      <c r="D161" s="46" t="s">
        <v>185</v>
      </c>
      <c r="E161" s="46" t="s">
        <v>185</v>
      </c>
      <c r="F161" s="46">
        <v>15</v>
      </c>
      <c r="G161" s="16">
        <v>18</v>
      </c>
      <c r="H161" s="46">
        <v>26</v>
      </c>
      <c r="I161" s="46">
        <v>36</v>
      </c>
      <c r="J161" s="46">
        <v>61</v>
      </c>
      <c r="K161" s="107">
        <v>69</v>
      </c>
      <c r="L161" s="107">
        <v>72</v>
      </c>
      <c r="M161" s="107">
        <v>99</v>
      </c>
      <c r="N161" s="89">
        <v>123</v>
      </c>
      <c r="O161" s="879"/>
      <c r="P161" s="558" t="str">
        <f>IF(Contents!$B$2=2,"Yes","Да")</f>
        <v>Yes</v>
      </c>
      <c r="Q161" s="29"/>
      <c r="R161" s="39"/>
      <c r="S161" s="39"/>
      <c r="T161" s="39"/>
      <c r="U161" s="39"/>
      <c r="W161" s="933">
        <v>1</v>
      </c>
      <c r="Y161" s="595"/>
    </row>
    <row r="162" spans="2:25" ht="22.5" hidden="1" customHeight="1" outlineLevel="1">
      <c r="B162" s="367" t="str">
        <f>IF(Contents!$B$2=2,"Rostov Region","Ростовская область")</f>
        <v>Rostov Region</v>
      </c>
      <c r="C162" s="53" t="str">
        <f>IF(Contents!$B$2=2,"people"," человек")</f>
        <v>people</v>
      </c>
      <c r="D162" s="46" t="s">
        <v>185</v>
      </c>
      <c r="E162" s="46" t="s">
        <v>185</v>
      </c>
      <c r="F162" s="46">
        <v>12</v>
      </c>
      <c r="G162" s="46">
        <v>9</v>
      </c>
      <c r="H162" s="46">
        <v>7</v>
      </c>
      <c r="I162" s="46">
        <v>8</v>
      </c>
      <c r="J162" s="46">
        <v>8</v>
      </c>
      <c r="K162" s="107">
        <v>6</v>
      </c>
      <c r="L162" s="107">
        <v>6</v>
      </c>
      <c r="M162" s="107">
        <v>4</v>
      </c>
      <c r="N162" s="89">
        <v>5</v>
      </c>
      <c r="O162" s="879"/>
      <c r="P162" s="558" t="str">
        <f>IF(Contents!$B$2=2,"Yes","Да")</f>
        <v>Yes</v>
      </c>
      <c r="Q162" s="29"/>
      <c r="R162" s="39"/>
      <c r="S162" s="39"/>
      <c r="T162" s="39"/>
      <c r="U162" s="39"/>
      <c r="W162" s="933">
        <v>1</v>
      </c>
      <c r="Y162" s="595"/>
    </row>
    <row r="163" spans="2:25" ht="22.5" hidden="1" customHeight="1" outlineLevel="1">
      <c r="B163" s="367" t="str">
        <f>IF(Contents!$B$2=2,"Kostroma Region","Костромская область")</f>
        <v>Kostroma Region</v>
      </c>
      <c r="C163" s="53" t="str">
        <f>IF(Contents!$B$2=2,"people"," человек")</f>
        <v>people</v>
      </c>
      <c r="D163" s="46" t="s">
        <v>185</v>
      </c>
      <c r="E163" s="46" t="s">
        <v>185</v>
      </c>
      <c r="F163" s="46">
        <v>23</v>
      </c>
      <c r="G163" s="46">
        <v>25</v>
      </c>
      <c r="H163" s="46">
        <v>24</v>
      </c>
      <c r="I163" s="46">
        <v>25</v>
      </c>
      <c r="J163" s="46">
        <v>15</v>
      </c>
      <c r="K163" s="91">
        <v>10</v>
      </c>
      <c r="L163" s="91">
        <v>10</v>
      </c>
      <c r="M163" s="91">
        <v>10</v>
      </c>
      <c r="N163" s="89">
        <v>5</v>
      </c>
      <c r="O163" s="879"/>
      <c r="P163" s="558" t="str">
        <f>IF(Contents!$B$2=2,"Yes","Да")</f>
        <v>Yes</v>
      </c>
      <c r="Q163" s="29"/>
      <c r="R163" s="39"/>
      <c r="S163" s="39"/>
      <c r="T163" s="39"/>
      <c r="U163" s="39"/>
      <c r="W163" s="933">
        <v>1</v>
      </c>
      <c r="Y163" s="595"/>
    </row>
    <row r="164" spans="2:25" ht="22.5" hidden="1" customHeight="1" outlineLevel="1">
      <c r="B164" s="367" t="str">
        <f>IF(Contents!$B$2=2,"Volgograd Region","Волгоградская область")</f>
        <v>Volgograd Region</v>
      </c>
      <c r="C164" s="53" t="str">
        <f>IF(Contents!$B$2=2,"people"," человек")</f>
        <v>people</v>
      </c>
      <c r="D164" s="46" t="s">
        <v>185</v>
      </c>
      <c r="E164" s="46" t="s">
        <v>185</v>
      </c>
      <c r="F164" s="46">
        <v>6</v>
      </c>
      <c r="G164" s="46">
        <v>1</v>
      </c>
      <c r="H164" s="46">
        <v>4</v>
      </c>
      <c r="I164" s="46">
        <v>6</v>
      </c>
      <c r="J164" s="46">
        <v>5</v>
      </c>
      <c r="K164" s="91">
        <v>7</v>
      </c>
      <c r="L164" s="91">
        <v>9</v>
      </c>
      <c r="M164" s="91">
        <v>4</v>
      </c>
      <c r="N164" s="89">
        <v>5</v>
      </c>
      <c r="O164" s="879"/>
      <c r="P164" s="558" t="str">
        <f>IF(Contents!$B$2=2,"Yes","Да")</f>
        <v>Yes</v>
      </c>
      <c r="Q164" s="29"/>
      <c r="R164" s="39"/>
      <c r="S164" s="39"/>
      <c r="T164" s="39"/>
      <c r="U164" s="39"/>
      <c r="W164" s="933">
        <v>1</v>
      </c>
      <c r="Y164" s="595"/>
    </row>
    <row r="165" spans="2:25" ht="22.5" hidden="1" customHeight="1" outlineLevel="1">
      <c r="B165" s="367" t="str">
        <f>IF(Contents!$B$2=2,"Murmansk Region","Мурманская область")</f>
        <v>Murmansk Region</v>
      </c>
      <c r="C165" s="53" t="str">
        <f>IF(Contents!$B$2=2,"people"," человек")</f>
        <v>people</v>
      </c>
      <c r="D165" s="46" t="s">
        <v>185</v>
      </c>
      <c r="E165" s="46" t="s">
        <v>185</v>
      </c>
      <c r="F165" s="46">
        <v>53</v>
      </c>
      <c r="G165" s="46">
        <v>64</v>
      </c>
      <c r="H165" s="46">
        <v>154</v>
      </c>
      <c r="I165" s="46">
        <v>272</v>
      </c>
      <c r="J165" s="46">
        <v>377</v>
      </c>
      <c r="K165" s="91">
        <v>435</v>
      </c>
      <c r="L165" s="91">
        <v>455</v>
      </c>
      <c r="M165" s="91">
        <v>293</v>
      </c>
      <c r="N165" s="89">
        <v>141</v>
      </c>
      <c r="O165" s="879"/>
      <c r="P165" s="558" t="str">
        <f>IF(Contents!$B$2=2,"Yes","Да")</f>
        <v>Yes</v>
      </c>
      <c r="Q165" s="29"/>
      <c r="R165" s="39"/>
      <c r="S165" s="39"/>
      <c r="T165" s="39"/>
      <c r="U165" s="39"/>
      <c r="W165" s="933">
        <v>1</v>
      </c>
      <c r="Y165" s="595"/>
    </row>
    <row r="166" spans="2:25" ht="22.5" hidden="1" customHeight="1" outlineLevel="1">
      <c r="B166" s="367" t="str">
        <f>IF(Contents!$B$2=2,"Khanty-Mansiysk Autonomous Region","Ханты-Мансийский автономный округ")</f>
        <v>Khanty-Mansiysk Autonomous Region</v>
      </c>
      <c r="C166" s="53" t="str">
        <f>IF(Contents!$B$2=2,"people"," человек")</f>
        <v>people</v>
      </c>
      <c r="D166" s="46" t="s">
        <v>185</v>
      </c>
      <c r="E166" s="46" t="s">
        <v>185</v>
      </c>
      <c r="F166" s="46">
        <v>0</v>
      </c>
      <c r="G166" s="46">
        <v>0</v>
      </c>
      <c r="H166" s="46">
        <v>1</v>
      </c>
      <c r="I166" s="46">
        <v>1</v>
      </c>
      <c r="J166" s="46">
        <v>0</v>
      </c>
      <c r="K166" s="91">
        <v>0</v>
      </c>
      <c r="L166" s="91">
        <v>0</v>
      </c>
      <c r="M166" s="91">
        <v>0</v>
      </c>
      <c r="N166" s="89">
        <v>0</v>
      </c>
      <c r="O166" s="879"/>
      <c r="P166" s="558" t="str">
        <f>IF(Contents!$B$2=2,"Yes","Да")</f>
        <v>Yes</v>
      </c>
      <c r="Q166" s="29"/>
      <c r="R166" s="39"/>
      <c r="S166" s="39"/>
      <c r="T166" s="39"/>
      <c r="U166" s="39"/>
      <c r="W166" s="933">
        <v>1</v>
      </c>
      <c r="Y166" s="595"/>
    </row>
    <row r="167" spans="2:25" ht="22.5" hidden="1" customHeight="1" outlineLevel="1">
      <c r="B167" s="367" t="str">
        <f>IF(Contents!$B$2=2,"Perm Territory","Пермский край")</f>
        <v>Perm Territory</v>
      </c>
      <c r="C167" s="53" t="str">
        <f>IF(Contents!$B$2=2,"people"," человек")</f>
        <v>people</v>
      </c>
      <c r="D167" s="46" t="s">
        <v>185</v>
      </c>
      <c r="E167" s="46" t="s">
        <v>185</v>
      </c>
      <c r="F167" s="46">
        <v>4</v>
      </c>
      <c r="G167" s="46">
        <v>3</v>
      </c>
      <c r="H167" s="46">
        <v>2</v>
      </c>
      <c r="I167" s="46">
        <v>3</v>
      </c>
      <c r="J167" s="46">
        <v>4</v>
      </c>
      <c r="K167" s="91">
        <v>3</v>
      </c>
      <c r="L167" s="91">
        <v>3</v>
      </c>
      <c r="M167" s="91">
        <v>3</v>
      </c>
      <c r="N167" s="89">
        <v>3</v>
      </c>
      <c r="O167" s="879"/>
      <c r="P167" s="558" t="str">
        <f>IF(Contents!$B$2=2,"Yes","Да")</f>
        <v>Yes</v>
      </c>
      <c r="Q167" s="29"/>
      <c r="R167" s="39"/>
      <c r="S167" s="39"/>
      <c r="T167" s="39"/>
      <c r="U167" s="39"/>
      <c r="W167" s="933">
        <v>1</v>
      </c>
      <c r="Y167" s="595"/>
    </row>
    <row r="168" spans="2:25" ht="22.5" hidden="1" customHeight="1" outlineLevel="1">
      <c r="B168" s="367" t="str">
        <f>IF(Contents!$B$2=2,"Astrakhan Region","Астраханская область")</f>
        <v>Astrakhan Region</v>
      </c>
      <c r="C168" s="53" t="str">
        <f>IF(Contents!$B$2=2,"people"," человек")</f>
        <v>people</v>
      </c>
      <c r="D168" s="46" t="s">
        <v>185</v>
      </c>
      <c r="E168" s="46" t="s">
        <v>185</v>
      </c>
      <c r="F168" s="46">
        <v>0</v>
      </c>
      <c r="G168" s="46">
        <v>0</v>
      </c>
      <c r="H168" s="46">
        <v>0</v>
      </c>
      <c r="I168" s="46">
        <v>0</v>
      </c>
      <c r="J168" s="46">
        <v>0</v>
      </c>
      <c r="K168" s="91">
        <v>0</v>
      </c>
      <c r="L168" s="91">
        <v>0</v>
      </c>
      <c r="M168" s="91">
        <v>1</v>
      </c>
      <c r="N168" s="89">
        <v>1</v>
      </c>
      <c r="O168" s="879"/>
      <c r="P168" s="558" t="str">
        <f>IF(Contents!$B$2=2,"Yes","Да")</f>
        <v>Yes</v>
      </c>
      <c r="Q168" s="29"/>
      <c r="R168" s="39"/>
      <c r="S168" s="39"/>
      <c r="T168" s="39"/>
      <c r="U168" s="39"/>
      <c r="W168" s="933">
        <v>1</v>
      </c>
      <c r="Y168" s="595"/>
    </row>
    <row r="169" spans="2:25" ht="22.5" hidden="1" customHeight="1" outlineLevel="1">
      <c r="B169" s="367" t="str">
        <f>IF(Contents!$B$2=2,"Krasnodar Territory","Краснодарский край")</f>
        <v>Krasnodar Territory</v>
      </c>
      <c r="C169" s="53" t="str">
        <f>IF(Contents!$B$2=2,"people"," человек")</f>
        <v>people</v>
      </c>
      <c r="D169" s="46" t="s">
        <v>185</v>
      </c>
      <c r="E169" s="46" t="s">
        <v>185</v>
      </c>
      <c r="F169" s="46">
        <v>0</v>
      </c>
      <c r="G169" s="46">
        <v>0</v>
      </c>
      <c r="H169" s="46">
        <v>2</v>
      </c>
      <c r="I169" s="46">
        <v>3</v>
      </c>
      <c r="J169" s="46">
        <v>2</v>
      </c>
      <c r="K169" s="91">
        <v>4</v>
      </c>
      <c r="L169" s="91">
        <v>5</v>
      </c>
      <c r="M169" s="91">
        <v>0</v>
      </c>
      <c r="N169" s="89">
        <v>0</v>
      </c>
      <c r="O169" s="879"/>
      <c r="P169" s="558" t="str">
        <f>IF(Contents!$B$2=2,"Yes","Да")</f>
        <v>Yes</v>
      </c>
      <c r="Q169" s="29"/>
      <c r="R169" s="39"/>
      <c r="S169" s="39"/>
      <c r="T169" s="39"/>
      <c r="U169" s="39"/>
      <c r="W169" s="933">
        <v>1</v>
      </c>
      <c r="Y169" s="595"/>
    </row>
    <row r="170" spans="2:25" ht="22.5" hidden="1" customHeight="1" outlineLevel="1">
      <c r="B170" s="367" t="str">
        <f>IF(Contents!$B$2=2,"Samara Region","Самарская область")</f>
        <v>Samara Region</v>
      </c>
      <c r="C170" s="53" t="str">
        <f>IF(Contents!$B$2=2,"people"," человек")</f>
        <v>people</v>
      </c>
      <c r="D170" s="46" t="s">
        <v>185</v>
      </c>
      <c r="E170" s="46" t="s">
        <v>185</v>
      </c>
      <c r="F170" s="46">
        <v>0</v>
      </c>
      <c r="G170" s="46">
        <v>0</v>
      </c>
      <c r="H170" s="46">
        <v>0</v>
      </c>
      <c r="I170" s="46">
        <v>0</v>
      </c>
      <c r="J170" s="46">
        <v>1</v>
      </c>
      <c r="K170" s="91">
        <v>2</v>
      </c>
      <c r="L170" s="91">
        <v>3</v>
      </c>
      <c r="M170" s="91">
        <v>3</v>
      </c>
      <c r="N170" s="89">
        <v>2</v>
      </c>
      <c r="O170" s="879"/>
      <c r="P170" s="558" t="str">
        <f>IF(Contents!$B$2=2,"Yes","Да")</f>
        <v>Yes</v>
      </c>
      <c r="Q170" s="29"/>
      <c r="R170" s="39"/>
      <c r="S170" s="39"/>
      <c r="T170" s="39"/>
      <c r="U170" s="39"/>
      <c r="W170" s="933">
        <v>1</v>
      </c>
      <c r="Y170" s="595"/>
    </row>
    <row r="171" spans="2:25" ht="22.5" hidden="1" customHeight="1" outlineLevel="1">
      <c r="B171" s="367" t="str">
        <f>IF(Contents!$B$2=2,"Arkhangelsk Region","Архангельская область")</f>
        <v>Arkhangelsk Region</v>
      </c>
      <c r="C171" s="53" t="str">
        <f>IF(Contents!$B$2=2,"people"," человек")</f>
        <v>people</v>
      </c>
      <c r="D171" s="46" t="s">
        <v>185</v>
      </c>
      <c r="E171" s="46" t="s">
        <v>185</v>
      </c>
      <c r="F171" s="46">
        <v>1</v>
      </c>
      <c r="G171" s="46">
        <v>1</v>
      </c>
      <c r="H171" s="46">
        <v>1</v>
      </c>
      <c r="I171" s="46">
        <v>1</v>
      </c>
      <c r="J171" s="46">
        <v>2</v>
      </c>
      <c r="K171" s="91">
        <v>2</v>
      </c>
      <c r="L171" s="91">
        <v>4</v>
      </c>
      <c r="M171" s="91">
        <v>4</v>
      </c>
      <c r="N171" s="89">
        <v>2</v>
      </c>
      <c r="O171" s="879"/>
      <c r="P171" s="558" t="str">
        <f>IF(Contents!$B$2=2,"Yes","Да")</f>
        <v>Yes</v>
      </c>
      <c r="Q171" s="29"/>
      <c r="R171" s="39"/>
      <c r="S171" s="39"/>
      <c r="T171" s="39"/>
      <c r="U171" s="39"/>
      <c r="W171" s="933">
        <v>1</v>
      </c>
      <c r="Y171" s="595"/>
    </row>
    <row r="172" spans="2:25" ht="22.5" hidden="1" customHeight="1" outlineLevel="1">
      <c r="B172" s="367" t="str">
        <f>IF(Contents!$B$2=2,"Kamchatka Territory","Камчатский край")</f>
        <v>Kamchatka Territory</v>
      </c>
      <c r="C172" s="53" t="str">
        <f>IF(Contents!$B$2=2,"people"," человек")</f>
        <v>people</v>
      </c>
      <c r="D172" s="46" t="s">
        <v>185</v>
      </c>
      <c r="E172" s="46" t="s">
        <v>185</v>
      </c>
      <c r="F172" s="46">
        <v>0</v>
      </c>
      <c r="G172" s="46">
        <v>1</v>
      </c>
      <c r="H172" s="46">
        <v>1</v>
      </c>
      <c r="I172" s="46">
        <v>1</v>
      </c>
      <c r="J172" s="46">
        <v>0</v>
      </c>
      <c r="K172" s="91">
        <v>8</v>
      </c>
      <c r="L172" s="91">
        <v>35</v>
      </c>
      <c r="M172" s="91">
        <v>2</v>
      </c>
      <c r="N172" s="89">
        <v>34</v>
      </c>
      <c r="O172" s="879"/>
      <c r="P172" s="558" t="str">
        <f>IF(Contents!$B$2=2,"Yes","Да")</f>
        <v>Yes</v>
      </c>
      <c r="Q172" s="29"/>
      <c r="R172" s="39"/>
      <c r="S172" s="39"/>
      <c r="T172" s="39"/>
      <c r="U172" s="39"/>
      <c r="W172" s="933">
        <v>1</v>
      </c>
      <c r="Y172" s="595"/>
    </row>
    <row r="173" spans="2:25" ht="22.5" hidden="1" customHeight="1" outlineLevel="1">
      <c r="B173" s="367" t="str">
        <f>IF(Contents!$B$2=2,"Republic of Bashkortostan","Республика Башкортостан")</f>
        <v>Republic of Bashkortostan</v>
      </c>
      <c r="C173" s="53" t="str">
        <f>IF(Contents!$B$2=2,"people"," человек")</f>
        <v>people</v>
      </c>
      <c r="D173" s="46" t="s">
        <v>185</v>
      </c>
      <c r="E173" s="46" t="s">
        <v>185</v>
      </c>
      <c r="F173" s="46">
        <v>0</v>
      </c>
      <c r="G173" s="46">
        <v>0</v>
      </c>
      <c r="H173" s="46">
        <v>0</v>
      </c>
      <c r="I173" s="46">
        <v>0</v>
      </c>
      <c r="J173" s="46">
        <v>0</v>
      </c>
      <c r="K173" s="91">
        <v>1</v>
      </c>
      <c r="L173" s="91">
        <v>1</v>
      </c>
      <c r="M173" s="91">
        <v>0</v>
      </c>
      <c r="N173" s="89">
        <v>0</v>
      </c>
      <c r="O173" s="879"/>
      <c r="P173" s="558" t="str">
        <f>IF(Contents!$B$2=2,"Yes","Да")</f>
        <v>Yes</v>
      </c>
      <c r="Q173" s="29"/>
      <c r="R173" s="39"/>
      <c r="S173" s="39"/>
      <c r="T173" s="39"/>
      <c r="U173" s="39"/>
      <c r="W173" s="933">
        <v>1</v>
      </c>
      <c r="Y173" s="595"/>
    </row>
    <row r="174" spans="2:25" ht="22.5" hidden="1" customHeight="1" outlineLevel="1">
      <c r="B174" s="367" t="str">
        <f>IF(Contents!$B$2=2,"Novosibirsk Region","Новосибирская область")</f>
        <v>Novosibirsk Region</v>
      </c>
      <c r="C174" s="53" t="str">
        <f>IF(Contents!$B$2=2,"people"," человек")</f>
        <v>people</v>
      </c>
      <c r="D174" s="46" t="s">
        <v>185</v>
      </c>
      <c r="E174" s="46" t="s">
        <v>185</v>
      </c>
      <c r="F174" s="46">
        <v>0</v>
      </c>
      <c r="G174" s="46">
        <v>0</v>
      </c>
      <c r="H174" s="46">
        <v>0</v>
      </c>
      <c r="I174" s="46">
        <v>0</v>
      </c>
      <c r="J174" s="46">
        <v>0</v>
      </c>
      <c r="K174" s="91">
        <v>0</v>
      </c>
      <c r="L174" s="91">
        <v>0</v>
      </c>
      <c r="M174" s="91">
        <v>0</v>
      </c>
      <c r="N174" s="89">
        <v>0</v>
      </c>
      <c r="O174" s="879"/>
      <c r="P174" s="558" t="str">
        <f>IF(Contents!$B$2=2,"Yes","Да")</f>
        <v>Yes</v>
      </c>
      <c r="Q174" s="29"/>
      <c r="R174" s="39"/>
      <c r="S174" s="39"/>
      <c r="T174" s="39"/>
      <c r="U174" s="39"/>
      <c r="W174" s="933">
        <v>1</v>
      </c>
      <c r="Y174" s="595"/>
    </row>
    <row r="175" spans="2:25" ht="22.5" hidden="1" customHeight="1" outlineLevel="1">
      <c r="B175" s="367" t="str">
        <f>IF(Contents!$B$2=2,"Stavropol Territory","Ставропольский край")</f>
        <v>Stavropol Territory</v>
      </c>
      <c r="C175" s="53" t="str">
        <f>IF(Contents!$B$2=2,"people"," человек")</f>
        <v>people</v>
      </c>
      <c r="D175" s="46" t="s">
        <v>185</v>
      </c>
      <c r="E175" s="46" t="s">
        <v>185</v>
      </c>
      <c r="F175" s="46">
        <v>0</v>
      </c>
      <c r="G175" s="46">
        <v>0</v>
      </c>
      <c r="H175" s="46">
        <v>0</v>
      </c>
      <c r="I175" s="46">
        <v>0</v>
      </c>
      <c r="J175" s="46">
        <v>0</v>
      </c>
      <c r="K175" s="91">
        <v>0</v>
      </c>
      <c r="L175" s="91">
        <v>0</v>
      </c>
      <c r="M175" s="91">
        <v>0</v>
      </c>
      <c r="N175" s="89">
        <v>0</v>
      </c>
      <c r="O175" s="879"/>
      <c r="P175" s="558" t="str">
        <f>IF(Contents!$B$2=2,"Yes","Да")</f>
        <v>Yes</v>
      </c>
      <c r="Q175" s="29"/>
      <c r="R175" s="39"/>
      <c r="S175" s="39"/>
      <c r="T175" s="39"/>
      <c r="U175" s="39"/>
      <c r="W175" s="933">
        <v>1</v>
      </c>
      <c r="Y175" s="595"/>
    </row>
    <row r="176" spans="2:25" ht="22.5" hidden="1" customHeight="1" outlineLevel="1">
      <c r="B176" s="367" t="str">
        <f>IF(Contents!$B$2=2,"Sverdlovsk Region","Свердловская область")</f>
        <v>Sverdlovsk Region</v>
      </c>
      <c r="C176" s="53" t="str">
        <f>IF(Contents!$B$2=2,"people"," человек")</f>
        <v>people</v>
      </c>
      <c r="D176" s="46" t="s">
        <v>185</v>
      </c>
      <c r="E176" s="46" t="s">
        <v>185</v>
      </c>
      <c r="F176" s="46">
        <v>0</v>
      </c>
      <c r="G176" s="46">
        <v>0</v>
      </c>
      <c r="H176" s="46">
        <v>0</v>
      </c>
      <c r="I176" s="46">
        <v>0</v>
      </c>
      <c r="J176" s="46">
        <v>0</v>
      </c>
      <c r="K176" s="91">
        <v>0</v>
      </c>
      <c r="L176" s="91">
        <v>0</v>
      </c>
      <c r="M176" s="91">
        <v>0</v>
      </c>
      <c r="N176" s="89">
        <v>0</v>
      </c>
      <c r="O176" s="879"/>
      <c r="P176" s="558" t="str">
        <f>IF(Contents!$B$2=2,"Yes","Да")</f>
        <v>Yes</v>
      </c>
      <c r="Q176" s="29"/>
      <c r="R176" s="39"/>
      <c r="S176" s="39"/>
      <c r="T176" s="39"/>
      <c r="U176" s="39"/>
      <c r="W176" s="933">
        <v>1</v>
      </c>
      <c r="Y176" s="595"/>
    </row>
    <row r="177" spans="2:25" ht="22.5" hidden="1" customHeight="1" outlineLevel="1">
      <c r="B177" s="367" t="str">
        <f>IF(Contents!$B$2=2,"Tver region","Тверская область")</f>
        <v>Tver region</v>
      </c>
      <c r="C177" s="53" t="str">
        <f>IF(Contents!$B$2=2,"people"," человек")</f>
        <v>people</v>
      </c>
      <c r="D177" s="46" t="s">
        <v>185</v>
      </c>
      <c r="E177" s="46" t="s">
        <v>185</v>
      </c>
      <c r="F177" s="46">
        <v>0</v>
      </c>
      <c r="G177" s="46">
        <v>0</v>
      </c>
      <c r="H177" s="46">
        <v>0</v>
      </c>
      <c r="I177" s="46">
        <v>0</v>
      </c>
      <c r="J177" s="46">
        <v>0</v>
      </c>
      <c r="K177" s="91">
        <v>0</v>
      </c>
      <c r="L177" s="91">
        <v>0</v>
      </c>
      <c r="M177" s="91">
        <v>0</v>
      </c>
      <c r="N177" s="89">
        <v>0</v>
      </c>
      <c r="O177" s="879"/>
      <c r="P177" s="558" t="str">
        <f>IF(Contents!$B$2=2,"Yes","Да")</f>
        <v>Yes</v>
      </c>
      <c r="Q177" s="29"/>
      <c r="R177" s="39"/>
      <c r="S177" s="39"/>
      <c r="T177" s="39"/>
      <c r="U177" s="39"/>
      <c r="W177" s="933">
        <v>1</v>
      </c>
      <c r="Y177" s="595"/>
    </row>
    <row r="178" spans="2:25" ht="22.5" hidden="1" customHeight="1" outlineLevel="1">
      <c r="B178" s="367" t="str">
        <f>IF(Contents!$B$2=2,"Tula Region","Тульская область")</f>
        <v>Tula Region</v>
      </c>
      <c r="C178" s="53" t="str">
        <f>IF(Contents!$B$2=2,"people"," человек")</f>
        <v>people</v>
      </c>
      <c r="D178" s="46" t="s">
        <v>185</v>
      </c>
      <c r="E178" s="46" t="s">
        <v>185</v>
      </c>
      <c r="F178" s="46">
        <v>0</v>
      </c>
      <c r="G178" s="46">
        <v>0</v>
      </c>
      <c r="H178" s="46">
        <v>0</v>
      </c>
      <c r="I178" s="46">
        <v>0</v>
      </c>
      <c r="J178" s="46">
        <v>0</v>
      </c>
      <c r="K178" s="91">
        <v>0</v>
      </c>
      <c r="L178" s="91">
        <v>1</v>
      </c>
      <c r="M178" s="91">
        <v>3</v>
      </c>
      <c r="N178" s="89">
        <v>4</v>
      </c>
      <c r="O178" s="879"/>
      <c r="P178" s="558" t="str">
        <f>IF(Contents!$B$2=2,"Yes","Да")</f>
        <v>Yes</v>
      </c>
      <c r="Q178" s="29"/>
      <c r="R178" s="39"/>
      <c r="S178" s="39"/>
      <c r="T178" s="39"/>
      <c r="U178" s="39"/>
      <c r="W178" s="933">
        <v>1</v>
      </c>
      <c r="Y178" s="595"/>
    </row>
    <row r="179" spans="2:25" ht="22.5" hidden="1" customHeight="1" outlineLevel="1">
      <c r="B179" s="367" t="str">
        <f>IF(Contents!$B$2=2,"Republic of Tatarstan","Республика Татарстан")</f>
        <v>Republic of Tatarstan</v>
      </c>
      <c r="C179" s="53" t="str">
        <f>IF(Contents!$B$2=2,"people"," человек")</f>
        <v>people</v>
      </c>
      <c r="D179" s="46" t="s">
        <v>185</v>
      </c>
      <c r="E179" s="46" t="s">
        <v>185</v>
      </c>
      <c r="F179" s="46">
        <v>0</v>
      </c>
      <c r="G179" s="46">
        <v>0</v>
      </c>
      <c r="H179" s="46">
        <v>0</v>
      </c>
      <c r="I179" s="46">
        <v>0</v>
      </c>
      <c r="J179" s="46">
        <v>0</v>
      </c>
      <c r="K179" s="91">
        <v>0</v>
      </c>
      <c r="L179" s="91">
        <v>0</v>
      </c>
      <c r="M179" s="91">
        <v>0</v>
      </c>
      <c r="N179" s="89">
        <v>0</v>
      </c>
      <c r="O179" s="879"/>
      <c r="P179" s="558" t="str">
        <f>IF(Contents!$B$2=2,"Yes","Да")</f>
        <v>Yes</v>
      </c>
      <c r="Q179" s="29"/>
      <c r="R179" s="39"/>
      <c r="S179" s="39"/>
      <c r="T179" s="39"/>
      <c r="U179" s="39"/>
      <c r="W179" s="933">
        <v>1</v>
      </c>
      <c r="Y179" s="595"/>
    </row>
    <row r="180" spans="2:25" ht="22.5" hidden="1" customHeight="1" outlineLevel="1">
      <c r="B180" s="367" t="str">
        <f>IF(Contents!$B$2=2,"Vladimir Region","Владимирская область")</f>
        <v>Vladimir Region</v>
      </c>
      <c r="C180" s="53" t="str">
        <f>IF(Contents!$B$2=2,"people"," человек")</f>
        <v>people</v>
      </c>
      <c r="D180" s="46" t="s">
        <v>185</v>
      </c>
      <c r="E180" s="46" t="s">
        <v>185</v>
      </c>
      <c r="F180" s="46">
        <v>0</v>
      </c>
      <c r="G180" s="46">
        <v>0</v>
      </c>
      <c r="H180" s="46">
        <v>0</v>
      </c>
      <c r="I180" s="46">
        <v>0</v>
      </c>
      <c r="J180" s="46">
        <v>0</v>
      </c>
      <c r="K180" s="91">
        <v>0</v>
      </c>
      <c r="L180" s="91">
        <v>0</v>
      </c>
      <c r="M180" s="91">
        <v>0</v>
      </c>
      <c r="N180" s="89">
        <v>0</v>
      </c>
      <c r="O180" s="879"/>
      <c r="P180" s="558" t="str">
        <f>IF(Contents!$B$2=2,"Yes","Да")</f>
        <v>Yes</v>
      </c>
      <c r="Q180" s="29"/>
      <c r="R180" s="39"/>
      <c r="S180" s="39"/>
      <c r="T180" s="39"/>
      <c r="U180" s="39"/>
      <c r="W180" s="933">
        <v>1</v>
      </c>
      <c r="Y180" s="595"/>
    </row>
    <row r="181" spans="2:25" ht="22.5" hidden="1" customHeight="1" outlineLevel="1">
      <c r="B181" s="367" t="str">
        <f>IF(Contents!$B$2=2,"Penza Region","Пензенская область")</f>
        <v>Penza Region</v>
      </c>
      <c r="C181" s="53" t="str">
        <f>IF(Contents!$B$2=2,"people"," человек")</f>
        <v>people</v>
      </c>
      <c r="D181" s="46" t="s">
        <v>185</v>
      </c>
      <c r="E181" s="46" t="s">
        <v>185</v>
      </c>
      <c r="F181" s="46">
        <v>0</v>
      </c>
      <c r="G181" s="46">
        <v>0</v>
      </c>
      <c r="H181" s="46">
        <v>0</v>
      </c>
      <c r="I181" s="46">
        <v>0</v>
      </c>
      <c r="J181" s="46">
        <v>0</v>
      </c>
      <c r="K181" s="91">
        <v>0</v>
      </c>
      <c r="L181" s="91">
        <v>0</v>
      </c>
      <c r="M181" s="91">
        <v>0</v>
      </c>
      <c r="N181" s="89">
        <v>0</v>
      </c>
      <c r="O181" s="879"/>
      <c r="P181" s="558" t="str">
        <f>IF(Contents!$B$2=2,"Yes","Да")</f>
        <v>Yes</v>
      </c>
      <c r="Q181" s="29"/>
      <c r="R181" s="39"/>
      <c r="S181" s="39"/>
      <c r="T181" s="39"/>
      <c r="U181" s="39"/>
      <c r="W181" s="933">
        <v>1</v>
      </c>
      <c r="Y181" s="595"/>
    </row>
    <row r="182" spans="2:25" ht="22.5" hidden="1" customHeight="1" outlineLevel="1">
      <c r="B182" s="368" t="str">
        <f>IF(Contents!$B$2=2,"Nizhny Novgorod region","Нижегородская область")</f>
        <v>Nizhny Novgorod region</v>
      </c>
      <c r="C182" s="53" t="str">
        <f>IF(Contents!$B$2=2,"people"," человек")</f>
        <v>people</v>
      </c>
      <c r="D182" s="46" t="s">
        <v>185</v>
      </c>
      <c r="E182" s="46" t="s">
        <v>185</v>
      </c>
      <c r="F182" s="46">
        <v>0</v>
      </c>
      <c r="G182" s="46">
        <v>0</v>
      </c>
      <c r="H182" s="46">
        <v>0</v>
      </c>
      <c r="I182" s="46">
        <v>0</v>
      </c>
      <c r="J182" s="46">
        <v>0</v>
      </c>
      <c r="K182" s="91">
        <v>0</v>
      </c>
      <c r="L182" s="91">
        <v>0</v>
      </c>
      <c r="M182" s="91">
        <v>0</v>
      </c>
      <c r="N182" s="89">
        <v>0</v>
      </c>
      <c r="O182" s="879"/>
      <c r="P182" s="558" t="str">
        <f>IF(Contents!$B$2=2,"Yes","Да")</f>
        <v>Yes</v>
      </c>
      <c r="Q182" s="29"/>
      <c r="R182" s="39"/>
      <c r="S182" s="39"/>
      <c r="T182" s="39"/>
      <c r="U182" s="39"/>
      <c r="W182" s="933">
        <v>1</v>
      </c>
      <c r="Y182" s="595"/>
    </row>
    <row r="183" spans="2:25" ht="22.5" hidden="1" customHeight="1" outlineLevel="1">
      <c r="B183" s="368" t="str">
        <f>IF(Contents!$B$2=2,"Primorsky Krai","Приморский край")</f>
        <v>Primorsky Krai</v>
      </c>
      <c r="C183" s="53" t="str">
        <f>IF(Contents!$B$2=2,"people"," человек")</f>
        <v>people</v>
      </c>
      <c r="D183" s="46" t="s">
        <v>185</v>
      </c>
      <c r="E183" s="46" t="s">
        <v>185</v>
      </c>
      <c r="F183" s="46">
        <v>0</v>
      </c>
      <c r="G183" s="46">
        <v>0</v>
      </c>
      <c r="H183" s="46">
        <v>0</v>
      </c>
      <c r="I183" s="46">
        <v>0</v>
      </c>
      <c r="J183" s="46">
        <v>0</v>
      </c>
      <c r="K183" s="91">
        <v>0</v>
      </c>
      <c r="L183" s="91">
        <v>0</v>
      </c>
      <c r="M183" s="91">
        <v>74</v>
      </c>
      <c r="N183" s="89">
        <v>88</v>
      </c>
      <c r="O183" s="879"/>
      <c r="P183" s="558" t="str">
        <f>IF(Contents!$B$2=2,"Yes","Да")</f>
        <v>Yes</v>
      </c>
      <c r="Q183" s="29"/>
      <c r="R183" s="39"/>
      <c r="S183" s="39"/>
      <c r="T183" s="39"/>
      <c r="U183" s="39"/>
      <c r="W183" s="933">
        <v>1</v>
      </c>
      <c r="Y183" s="595"/>
    </row>
    <row r="184" spans="2:25" ht="22.5" hidden="1" customHeight="1" outlineLevel="1">
      <c r="B184" s="368" t="str">
        <f>IF(Contents!$B$2=2,"Republic of Mari El","Республика Марий Эл")</f>
        <v>Republic of Mari El</v>
      </c>
      <c r="C184" s="53" t="str">
        <f>IF(Contents!$B$2=2,"people"," человек")</f>
        <v>people</v>
      </c>
      <c r="D184" s="46" t="s">
        <v>185</v>
      </c>
      <c r="E184" s="46" t="s">
        <v>185</v>
      </c>
      <c r="F184" s="46">
        <v>0</v>
      </c>
      <c r="G184" s="46">
        <v>0</v>
      </c>
      <c r="H184" s="46">
        <v>0</v>
      </c>
      <c r="I184" s="46">
        <v>0</v>
      </c>
      <c r="J184" s="46">
        <v>0</v>
      </c>
      <c r="K184" s="91">
        <v>0</v>
      </c>
      <c r="L184" s="91">
        <v>0</v>
      </c>
      <c r="M184" s="91">
        <v>0</v>
      </c>
      <c r="N184" s="89">
        <v>0</v>
      </c>
      <c r="O184" s="879"/>
      <c r="P184" s="558" t="str">
        <f>IF(Contents!$B$2=2,"Yes","Да")</f>
        <v>Yes</v>
      </c>
      <c r="Q184" s="29"/>
      <c r="R184" s="39"/>
      <c r="S184" s="39"/>
      <c r="T184" s="39"/>
      <c r="U184" s="39"/>
      <c r="W184" s="933">
        <v>1</v>
      </c>
      <c r="Y184" s="595"/>
    </row>
    <row r="185" spans="2:25" ht="22.35" hidden="1" customHeight="1" outlineLevel="1">
      <c r="B185" s="368" t="str">
        <f>IF(Contents!$B$2=2,"Chuvash Republic","Чувашская республика")</f>
        <v>Chuvash Republic</v>
      </c>
      <c r="C185" s="53" t="str">
        <f>IF(Contents!$B$2=2,"people"," человек")</f>
        <v>people</v>
      </c>
      <c r="D185" s="46" t="s">
        <v>185</v>
      </c>
      <c r="E185" s="46" t="s">
        <v>185</v>
      </c>
      <c r="F185" s="90" t="s">
        <v>185</v>
      </c>
      <c r="G185" s="90" t="s">
        <v>185</v>
      </c>
      <c r="H185" s="90" t="s">
        <v>185</v>
      </c>
      <c r="I185" s="46" t="s">
        <v>185</v>
      </c>
      <c r="J185" s="46" t="s">
        <v>185</v>
      </c>
      <c r="K185" s="46" t="s">
        <v>185</v>
      </c>
      <c r="L185" s="46" t="s">
        <v>185</v>
      </c>
      <c r="M185" s="46" t="s">
        <v>185</v>
      </c>
      <c r="N185" s="89">
        <v>0</v>
      </c>
      <c r="O185" s="879"/>
      <c r="P185" s="558" t="str">
        <f>IF(Contents!$B$2=2,"Yes","Да")</f>
        <v>Yes</v>
      </c>
      <c r="Q185" s="29"/>
      <c r="R185" s="39"/>
      <c r="S185" s="39"/>
      <c r="T185" s="39"/>
      <c r="U185" s="39"/>
      <c r="W185" s="933">
        <v>1</v>
      </c>
      <c r="Y185" s="595"/>
    </row>
    <row r="186" spans="2:25" ht="22.5" customHeight="1" collapsed="1">
      <c r="B186" s="78" t="str">
        <f>IF(Contents!$B$2=2,"Other countries","Прочие страны")</f>
        <v>Other countries</v>
      </c>
      <c r="C186" s="53" t="str">
        <f>IF(Contents!$B$2=2,"people"," человек")</f>
        <v>people</v>
      </c>
      <c r="D186" s="46" t="s">
        <v>185</v>
      </c>
      <c r="E186" s="46" t="s">
        <v>185</v>
      </c>
      <c r="F186" s="46">
        <v>39</v>
      </c>
      <c r="G186" s="46">
        <v>59</v>
      </c>
      <c r="H186" s="46">
        <v>61</v>
      </c>
      <c r="I186" s="46">
        <v>51</v>
      </c>
      <c r="J186" s="46">
        <v>56</v>
      </c>
      <c r="K186" s="91">
        <v>22</v>
      </c>
      <c r="L186" s="91">
        <v>27</v>
      </c>
      <c r="M186" s="91">
        <v>40</v>
      </c>
      <c r="N186" s="89">
        <v>40</v>
      </c>
      <c r="O186" s="879"/>
      <c r="P186" s="558" t="str">
        <f>IF(Contents!$B$2=2,"Yes","Да")</f>
        <v>Yes</v>
      </c>
      <c r="Q186" s="29"/>
      <c r="R186" s="39"/>
      <c r="S186" s="39"/>
      <c r="T186" s="39"/>
      <c r="U186" s="39"/>
      <c r="W186" s="933">
        <v>1</v>
      </c>
      <c r="Y186" s="595"/>
    </row>
    <row r="187" spans="2:25" ht="22.5" customHeight="1">
      <c r="B187" s="78"/>
      <c r="C187" s="53"/>
      <c r="D187" s="377"/>
      <c r="E187" s="377"/>
      <c r="F187" s="377"/>
      <c r="G187" s="377"/>
      <c r="H187" s="377"/>
      <c r="I187" s="377"/>
      <c r="J187" s="377"/>
      <c r="K187" s="377"/>
      <c r="L187" s="377"/>
      <c r="M187" s="377"/>
      <c r="N187" s="377"/>
      <c r="O187" s="29"/>
      <c r="P187" s="558"/>
      <c r="Q187" s="29"/>
      <c r="R187" s="39"/>
      <c r="S187" s="39"/>
      <c r="T187" s="39"/>
      <c r="U187" s="39"/>
      <c r="Y187" s="595"/>
    </row>
    <row r="188" spans="2:25" ht="20.100000000000001" customHeight="1">
      <c r="B188" s="45" t="str">
        <f>IF(Contents!$B$2=2,"Distribution of employees by type of employment","Распределение работников по типу занятости")</f>
        <v>Distribution of employees by type of employment</v>
      </c>
      <c r="C188" s="105"/>
      <c r="D188" s="106"/>
      <c r="E188" s="106"/>
      <c r="F188" s="106"/>
      <c r="G188" s="106"/>
      <c r="H188" s="106"/>
      <c r="I188" s="363"/>
      <c r="J188" s="363"/>
      <c r="K188" s="363"/>
      <c r="L188" s="363"/>
      <c r="M188" s="363"/>
      <c r="N188" s="363"/>
      <c r="O188" s="40"/>
      <c r="P188" s="558"/>
      <c r="Q188" s="40"/>
      <c r="R188" s="39"/>
      <c r="S188" s="39"/>
      <c r="T188" s="39"/>
      <c r="U188" s="39"/>
    </row>
    <row r="189" spans="2:25" ht="22.5" customHeight="1">
      <c r="B189" s="371" t="str">
        <f>IF(Contents!$B$2=2,"Full-time","Полная занятость")</f>
        <v>Full-time</v>
      </c>
      <c r="C189" s="49" t="str">
        <f>IF(Contents!$B$2=2,"people"," человек")</f>
        <v>people</v>
      </c>
      <c r="D189" s="372" t="s">
        <v>185</v>
      </c>
      <c r="E189" s="372" t="s">
        <v>185</v>
      </c>
      <c r="F189" s="372">
        <v>12188</v>
      </c>
      <c r="G189" s="372">
        <v>13642</v>
      </c>
      <c r="H189" s="372">
        <v>15386</v>
      </c>
      <c r="I189" s="372">
        <v>16769</v>
      </c>
      <c r="J189" s="372">
        <v>18320</v>
      </c>
      <c r="K189" s="372">
        <v>19473</v>
      </c>
      <c r="L189" s="372">
        <v>20812</v>
      </c>
      <c r="M189" s="372">
        <v>21926</v>
      </c>
      <c r="N189" s="372">
        <v>23478</v>
      </c>
      <c r="O189" s="879"/>
      <c r="P189" s="558" t="str">
        <f>IF(Contents!$B$2=2,"Yes","Да")</f>
        <v>Yes</v>
      </c>
      <c r="Q189" s="29"/>
      <c r="R189" s="39" t="s">
        <v>122</v>
      </c>
      <c r="S189" s="39"/>
      <c r="T189" s="39" t="s">
        <v>123</v>
      </c>
      <c r="U189" s="39"/>
      <c r="W189" s="933">
        <v>1</v>
      </c>
      <c r="Y189" s="595"/>
    </row>
    <row r="190" spans="2:25" ht="22.5" customHeight="1">
      <c r="B190" s="93" t="str">
        <f>IF(Contents!$B$2=2,"Male","Мужчины")</f>
        <v>Male</v>
      </c>
      <c r="C190" s="53" t="str">
        <f>IF(Contents!$B$2=2,"people"," человек")</f>
        <v>people</v>
      </c>
      <c r="D190" s="46" t="s">
        <v>185</v>
      </c>
      <c r="E190" s="46" t="s">
        <v>185</v>
      </c>
      <c r="F190" s="46">
        <v>9188</v>
      </c>
      <c r="G190" s="46">
        <v>10380</v>
      </c>
      <c r="H190" s="46">
        <v>11810</v>
      </c>
      <c r="I190" s="38">
        <v>12906</v>
      </c>
      <c r="J190" s="38">
        <v>14289</v>
      </c>
      <c r="K190" s="38">
        <v>15264</v>
      </c>
      <c r="L190" s="38">
        <v>16444</v>
      </c>
      <c r="M190" s="38">
        <v>17498</v>
      </c>
      <c r="N190" s="89">
        <v>18998</v>
      </c>
      <c r="O190" s="879"/>
      <c r="P190" s="558" t="str">
        <f>IF(Contents!$B$2=2,"Yes","Да")</f>
        <v>Yes</v>
      </c>
      <c r="Q190" s="29"/>
      <c r="R190" s="39"/>
      <c r="S190" s="39"/>
      <c r="T190" s="39"/>
      <c r="U190" s="39"/>
      <c r="W190" s="933">
        <v>1</v>
      </c>
      <c r="Y190" s="595"/>
    </row>
    <row r="191" spans="2:25" ht="22.5" customHeight="1">
      <c r="B191" s="93" t="str">
        <f>IF(Contents!$B$2=2,"Female","Женщины")</f>
        <v>Female</v>
      </c>
      <c r="C191" s="53" t="str">
        <f>IF(Contents!$B$2=2,"people"," человек")</f>
        <v>people</v>
      </c>
      <c r="D191" s="46" t="s">
        <v>185</v>
      </c>
      <c r="E191" s="46" t="s">
        <v>185</v>
      </c>
      <c r="F191" s="46">
        <v>3000</v>
      </c>
      <c r="G191" s="46">
        <v>3262</v>
      </c>
      <c r="H191" s="46">
        <v>3576</v>
      </c>
      <c r="I191" s="38">
        <v>3863</v>
      </c>
      <c r="J191" s="38">
        <v>4031</v>
      </c>
      <c r="K191" s="38">
        <v>4209</v>
      </c>
      <c r="L191" s="38">
        <v>4368</v>
      </c>
      <c r="M191" s="38">
        <v>4428</v>
      </c>
      <c r="N191" s="89">
        <v>4480</v>
      </c>
      <c r="O191" s="879"/>
      <c r="P191" s="558" t="str">
        <f>IF(Contents!$B$2=2,"Yes","Да")</f>
        <v>Yes</v>
      </c>
      <c r="Q191" s="29"/>
      <c r="R191" s="39"/>
      <c r="S191" s="39"/>
      <c r="T191" s="39"/>
      <c r="U191" s="39"/>
      <c r="W191" s="933">
        <v>1</v>
      </c>
      <c r="Y191" s="595"/>
    </row>
    <row r="192" spans="2:25">
      <c r="B192" s="78"/>
      <c r="C192" s="53"/>
      <c r="D192" s="46"/>
      <c r="E192" s="46"/>
      <c r="F192" s="46"/>
      <c r="G192" s="46"/>
      <c r="H192" s="46"/>
      <c r="I192" s="38"/>
      <c r="J192" s="38"/>
      <c r="K192" s="38"/>
      <c r="L192" s="38"/>
      <c r="M192" s="38"/>
      <c r="N192" s="38"/>
      <c r="O192" s="38"/>
      <c r="P192" s="558"/>
      <c r="Q192" s="29"/>
      <c r="R192" s="39"/>
      <c r="S192" s="39"/>
      <c r="T192" s="39"/>
      <c r="U192" s="39"/>
      <c r="Y192" s="595"/>
    </row>
    <row r="193" spans="1:48" ht="21.6" customHeight="1">
      <c r="B193" s="371" t="str">
        <f>IF(Contents!$B$2=2,"Part-time","Неполная занятость")</f>
        <v>Part-time</v>
      </c>
      <c r="C193" s="49" t="str">
        <f>IF(Contents!$B$2=2,"people"," человек")</f>
        <v>people</v>
      </c>
      <c r="D193" s="372" t="s">
        <v>185</v>
      </c>
      <c r="E193" s="372" t="s">
        <v>185</v>
      </c>
      <c r="F193" s="372">
        <v>48</v>
      </c>
      <c r="G193" s="372">
        <v>52</v>
      </c>
      <c r="H193" s="372">
        <v>59</v>
      </c>
      <c r="I193" s="372">
        <v>52</v>
      </c>
      <c r="J193" s="372">
        <v>84</v>
      </c>
      <c r="K193" s="372">
        <v>97</v>
      </c>
      <c r="L193" s="372">
        <v>93</v>
      </c>
      <c r="M193" s="372">
        <v>110</v>
      </c>
      <c r="N193" s="372">
        <v>115</v>
      </c>
      <c r="O193" s="879"/>
      <c r="P193" s="558" t="str">
        <f>IF(Contents!$B$2=2,"Yes","Да")</f>
        <v>Yes</v>
      </c>
      <c r="Q193" s="29"/>
      <c r="R193" s="39" t="s">
        <v>122</v>
      </c>
      <c r="S193" s="39"/>
      <c r="T193" s="39" t="s">
        <v>123</v>
      </c>
      <c r="U193" s="39"/>
      <c r="V193" s="632"/>
      <c r="W193" s="935">
        <v>1</v>
      </c>
      <c r="Y193" s="595"/>
    </row>
    <row r="194" spans="1:48" ht="22.5" customHeight="1">
      <c r="B194" s="93" t="str">
        <f>IF(Contents!$B$2=2,"Male","Мужчины")</f>
        <v>Male</v>
      </c>
      <c r="C194" s="53" t="str">
        <f>IF(Contents!$B$2=2,"people"," человек")</f>
        <v>people</v>
      </c>
      <c r="D194" s="46" t="s">
        <v>185</v>
      </c>
      <c r="E194" s="46" t="s">
        <v>185</v>
      </c>
      <c r="F194" s="46">
        <v>8</v>
      </c>
      <c r="G194" s="46">
        <v>11</v>
      </c>
      <c r="H194" s="46">
        <v>15</v>
      </c>
      <c r="I194" s="38">
        <v>14</v>
      </c>
      <c r="J194" s="38">
        <v>28</v>
      </c>
      <c r="K194" s="38">
        <v>37</v>
      </c>
      <c r="L194" s="38">
        <v>28</v>
      </c>
      <c r="M194" s="38">
        <v>42</v>
      </c>
      <c r="N194" s="89">
        <v>52</v>
      </c>
      <c r="O194" s="879"/>
      <c r="P194" s="558" t="str">
        <f>IF(Contents!$B$2=2,"Yes","Да")</f>
        <v>Yes</v>
      </c>
      <c r="Q194" s="29"/>
      <c r="R194" s="39"/>
      <c r="S194" s="39"/>
      <c r="T194" s="39"/>
      <c r="U194" s="39"/>
      <c r="W194" s="933">
        <v>1</v>
      </c>
      <c r="Y194" s="595"/>
    </row>
    <row r="195" spans="1:48" ht="22.5" customHeight="1">
      <c r="B195" s="93" t="str">
        <f>IF(Contents!$B$2=2,"Female","Женщины")</f>
        <v>Female</v>
      </c>
      <c r="C195" s="53" t="str">
        <f>IF(Contents!$B$2=2,"people"," человек")</f>
        <v>people</v>
      </c>
      <c r="D195" s="46" t="s">
        <v>185</v>
      </c>
      <c r="E195" s="46" t="s">
        <v>185</v>
      </c>
      <c r="F195" s="46">
        <v>40</v>
      </c>
      <c r="G195" s="46">
        <v>41</v>
      </c>
      <c r="H195" s="46">
        <v>44</v>
      </c>
      <c r="I195" s="38">
        <v>38</v>
      </c>
      <c r="J195" s="38">
        <v>56</v>
      </c>
      <c r="K195" s="38">
        <v>60</v>
      </c>
      <c r="L195" s="38">
        <v>65</v>
      </c>
      <c r="M195" s="38">
        <v>68</v>
      </c>
      <c r="N195" s="89">
        <v>63</v>
      </c>
      <c r="O195" s="879"/>
      <c r="P195" s="558" t="str">
        <f>IF(Contents!$B$2=2,"Yes","Да")</f>
        <v>Yes</v>
      </c>
      <c r="Q195" s="29"/>
      <c r="R195" s="39"/>
      <c r="S195" s="39"/>
      <c r="T195" s="39"/>
      <c r="U195" s="39"/>
      <c r="W195" s="933">
        <v>1</v>
      </c>
      <c r="Y195" s="595"/>
    </row>
    <row r="196" spans="1:48" ht="22.5" customHeight="1">
      <c r="B196" s="78"/>
      <c r="C196" s="53"/>
      <c r="D196" s="46"/>
      <c r="E196" s="46"/>
      <c r="F196" s="46"/>
      <c r="G196" s="46"/>
      <c r="H196" s="46"/>
      <c r="I196" s="38"/>
      <c r="J196" s="38"/>
      <c r="K196" s="38"/>
      <c r="L196" s="38"/>
      <c r="M196" s="38"/>
      <c r="N196" s="38"/>
      <c r="O196" s="38"/>
      <c r="P196" s="558"/>
      <c r="Q196" s="38"/>
      <c r="R196" s="39"/>
      <c r="S196" s="39"/>
      <c r="T196" s="39"/>
      <c r="U196" s="39"/>
      <c r="Y196" s="595"/>
    </row>
    <row r="197" spans="1:48" ht="20.100000000000001" customHeight="1">
      <c r="B197" s="45" t="str">
        <f>IF(Contents!$B$2=2,"Personnel diversity","Многообразие персонала")</f>
        <v>Personnel diversity</v>
      </c>
      <c r="C197" s="105"/>
      <c r="D197" s="106"/>
      <c r="E197" s="106"/>
      <c r="F197" s="106"/>
      <c r="G197" s="106"/>
      <c r="H197" s="106"/>
      <c r="I197" s="363"/>
      <c r="J197" s="363"/>
      <c r="K197" s="363"/>
      <c r="L197" s="363"/>
      <c r="M197" s="363"/>
      <c r="N197" s="363"/>
      <c r="O197" s="40"/>
      <c r="P197" s="558"/>
      <c r="Q197" s="40"/>
      <c r="R197" s="39"/>
      <c r="S197" s="39"/>
      <c r="T197" s="39"/>
      <c r="U197" s="39"/>
    </row>
    <row r="198" spans="1:48" ht="33.75" customHeight="1">
      <c r="B198" s="48" t="str">
        <f>IF(Contents!$B$2=2,"Diversity among top managers","Многообразие топ-менеджеров")</f>
        <v>Diversity among top managers</v>
      </c>
      <c r="C198" s="49"/>
      <c r="D198" s="51"/>
      <c r="E198" s="51"/>
      <c r="F198" s="51"/>
      <c r="G198" s="51"/>
      <c r="H198" s="51"/>
      <c r="I198" s="51"/>
      <c r="J198" s="51"/>
      <c r="K198" s="51"/>
      <c r="L198" s="51"/>
      <c r="M198" s="51"/>
      <c r="N198" s="51"/>
      <c r="O198" s="164"/>
      <c r="P198" s="558"/>
      <c r="Q198" s="164"/>
      <c r="R198" s="39"/>
      <c r="S198" s="39"/>
      <c r="T198" s="39"/>
      <c r="U198" s="39"/>
      <c r="Y198" s="595"/>
    </row>
    <row r="199" spans="1:48" ht="22.5" customHeight="1">
      <c r="B199" s="364" t="str">
        <f>IF(Contents!$B$2=2,"by gender","по полу")</f>
        <v>by gender</v>
      </c>
      <c r="C199" s="77"/>
      <c r="D199" s="111"/>
      <c r="E199" s="111"/>
      <c r="F199" s="111"/>
      <c r="G199" s="111"/>
      <c r="H199" s="111"/>
      <c r="I199" s="85"/>
      <c r="J199" s="111"/>
      <c r="K199" s="111"/>
      <c r="L199" s="111"/>
      <c r="M199" s="111"/>
      <c r="N199" s="111"/>
      <c r="O199" s="37"/>
      <c r="P199" s="558"/>
      <c r="Q199" s="37"/>
      <c r="R199" s="39" t="s">
        <v>125</v>
      </c>
      <c r="S199" s="39"/>
      <c r="T199" s="39" t="s">
        <v>123</v>
      </c>
      <c r="U199" s="39"/>
      <c r="Y199" s="595"/>
    </row>
    <row r="200" spans="1:48" ht="22.5" customHeight="1">
      <c r="B200" s="93" t="str">
        <f>IF(Contents!$B$2=2,"Male","Мужчины")</f>
        <v>Male</v>
      </c>
      <c r="C200" s="53" t="s">
        <v>0</v>
      </c>
      <c r="D200" s="46" t="s">
        <v>185</v>
      </c>
      <c r="E200" s="46" t="s">
        <v>185</v>
      </c>
      <c r="F200" s="46" t="s">
        <v>185</v>
      </c>
      <c r="G200" s="46" t="s">
        <v>185</v>
      </c>
      <c r="H200" s="46" t="s">
        <v>185</v>
      </c>
      <c r="I200" s="38">
        <v>82</v>
      </c>
      <c r="J200" s="38">
        <v>80</v>
      </c>
      <c r="K200" s="38">
        <v>80</v>
      </c>
      <c r="L200" s="38">
        <v>80</v>
      </c>
      <c r="M200" s="38">
        <v>80</v>
      </c>
      <c r="N200" s="89">
        <v>79</v>
      </c>
      <c r="O200" s="879"/>
      <c r="P200" s="558" t="str">
        <f>IF(Contents!$B$2=2,"Yes","Да")</f>
        <v>Yes</v>
      </c>
      <c r="Q200" s="38"/>
      <c r="R200" s="39"/>
      <c r="S200" s="39"/>
      <c r="T200" s="39"/>
      <c r="U200" s="39"/>
      <c r="W200" s="933">
        <v>1</v>
      </c>
      <c r="Y200" s="595"/>
    </row>
    <row r="201" spans="1:48" ht="22.5" customHeight="1">
      <c r="B201" s="93" t="str">
        <f>IF(Contents!$B$2=2,"Female","Женщины")</f>
        <v>Female</v>
      </c>
      <c r="C201" s="53" t="s">
        <v>0</v>
      </c>
      <c r="D201" s="46" t="s">
        <v>185</v>
      </c>
      <c r="E201" s="46" t="s">
        <v>185</v>
      </c>
      <c r="F201" s="46" t="s">
        <v>185</v>
      </c>
      <c r="G201" s="46" t="s">
        <v>185</v>
      </c>
      <c r="H201" s="46" t="s">
        <v>185</v>
      </c>
      <c r="I201" s="38">
        <v>18</v>
      </c>
      <c r="J201" s="38">
        <v>20</v>
      </c>
      <c r="K201" s="38">
        <v>20</v>
      </c>
      <c r="L201" s="38">
        <v>20</v>
      </c>
      <c r="M201" s="38">
        <v>20</v>
      </c>
      <c r="N201" s="89">
        <v>21</v>
      </c>
      <c r="O201" s="879"/>
      <c r="P201" s="558" t="str">
        <f>IF(Contents!$B$2=2,"Yes","Да")</f>
        <v>Yes</v>
      </c>
      <c r="Q201" s="38"/>
      <c r="R201" s="39"/>
      <c r="S201" s="39"/>
      <c r="T201" s="39"/>
      <c r="U201" s="39" t="str">
        <f>IF(Contents!$B$2=2,"PBCS 49","СОКБ 49")</f>
        <v>PBCS 49</v>
      </c>
      <c r="W201" s="933">
        <v>1</v>
      </c>
      <c r="Y201" s="595"/>
    </row>
    <row r="202" spans="1:48" ht="22.5" customHeight="1">
      <c r="B202" s="285" t="str">
        <f>IF(Contents!$B$2=2,"Percentage of women on the Board of Directors","Доля женщин в Совете директоров")</f>
        <v>Percentage of women on the Board of Directors</v>
      </c>
      <c r="C202" s="53" t="s">
        <v>0</v>
      </c>
      <c r="D202" s="46">
        <v>0</v>
      </c>
      <c r="E202" s="46">
        <v>0</v>
      </c>
      <c r="F202" s="46">
        <v>0</v>
      </c>
      <c r="G202" s="46">
        <v>0</v>
      </c>
      <c r="H202" s="46">
        <v>0</v>
      </c>
      <c r="I202" s="38">
        <v>11</v>
      </c>
      <c r="J202" s="38">
        <v>11</v>
      </c>
      <c r="K202" s="38">
        <v>22</v>
      </c>
      <c r="L202" s="38">
        <v>11</v>
      </c>
      <c r="M202" s="38">
        <v>11</v>
      </c>
      <c r="N202" s="89">
        <v>11</v>
      </c>
      <c r="O202" s="879"/>
      <c r="P202" s="558" t="str">
        <f>IF(Contents!$B$2=2,"Yes","Да")</f>
        <v>Yes</v>
      </c>
      <c r="Q202" s="38"/>
      <c r="R202" s="39" t="s">
        <v>125</v>
      </c>
      <c r="S202" s="39"/>
      <c r="T202" s="39"/>
      <c r="U202" s="39" t="str">
        <f>IF(Contents!$B$2=2,"PBCS 49","СОКБ 49")</f>
        <v>PBCS 49</v>
      </c>
      <c r="W202" s="933">
        <v>1</v>
      </c>
      <c r="Y202" s="595"/>
    </row>
    <row r="203" spans="1:48" ht="22.5" customHeight="1">
      <c r="B203" s="23" t="str">
        <f>IF(Contents!$B$2=2,"by age","по возрасту")</f>
        <v>by age</v>
      </c>
      <c r="C203" s="77"/>
      <c r="D203" s="111"/>
      <c r="E203" s="111"/>
      <c r="F203" s="111"/>
      <c r="G203" s="111"/>
      <c r="H203" s="111"/>
      <c r="I203" s="85"/>
      <c r="J203" s="111"/>
      <c r="K203" s="111"/>
      <c r="L203" s="111"/>
      <c r="M203" s="111"/>
      <c r="N203" s="111"/>
      <c r="O203" s="37"/>
      <c r="P203" s="558"/>
      <c r="Q203" s="38"/>
      <c r="R203" s="39" t="s">
        <v>125</v>
      </c>
      <c r="S203" s="39"/>
      <c r="T203" s="39" t="s">
        <v>123</v>
      </c>
      <c r="U203" s="39"/>
      <c r="Y203" s="595"/>
    </row>
    <row r="204" spans="1:48" ht="22.5" customHeight="1">
      <c r="B204" s="78" t="str">
        <f>IF(Contents!$B$2=2,"Under 30","До 30 лет")</f>
        <v>Under 30</v>
      </c>
      <c r="C204" s="53" t="s">
        <v>0</v>
      </c>
      <c r="D204" s="46">
        <v>0</v>
      </c>
      <c r="E204" s="46">
        <v>0</v>
      </c>
      <c r="F204" s="46">
        <v>0.54054054054054057</v>
      </c>
      <c r="G204" s="46">
        <v>0.45045045045045046</v>
      </c>
      <c r="H204" s="46">
        <v>0</v>
      </c>
      <c r="I204" s="46">
        <v>0</v>
      </c>
      <c r="J204" s="38">
        <v>0</v>
      </c>
      <c r="K204" s="38">
        <v>0</v>
      </c>
      <c r="L204" s="38">
        <v>0</v>
      </c>
      <c r="M204" s="38">
        <v>0.4</v>
      </c>
      <c r="N204" s="89">
        <v>0</v>
      </c>
      <c r="O204" s="879"/>
      <c r="P204" s="558" t="str">
        <f>IF(Contents!$B$2=2,"Yes","Да")</f>
        <v>Yes</v>
      </c>
      <c r="Q204" s="38"/>
      <c r="R204" s="39"/>
      <c r="S204" s="39"/>
      <c r="T204" s="39"/>
      <c r="U204" s="39"/>
      <c r="W204" s="933">
        <v>1</v>
      </c>
    </row>
    <row r="205" spans="1:48" s="375" customFormat="1" ht="22.5" customHeight="1">
      <c r="A205" s="14"/>
      <c r="B205" s="78" t="str">
        <f>IF(Contents!$B$2=2,"30 to 50","30-50 лет")</f>
        <v>30 to 50</v>
      </c>
      <c r="C205" s="53" t="s">
        <v>0</v>
      </c>
      <c r="D205" s="46">
        <v>77</v>
      </c>
      <c r="E205" s="46">
        <v>74</v>
      </c>
      <c r="F205" s="46">
        <v>75</v>
      </c>
      <c r="G205" s="46">
        <v>76</v>
      </c>
      <c r="H205" s="46">
        <v>77</v>
      </c>
      <c r="I205" s="38">
        <v>76</v>
      </c>
      <c r="J205" s="38">
        <v>74</v>
      </c>
      <c r="K205" s="38">
        <v>73</v>
      </c>
      <c r="L205" s="38">
        <v>69</v>
      </c>
      <c r="M205" s="38">
        <v>66</v>
      </c>
      <c r="N205" s="89">
        <v>65</v>
      </c>
      <c r="O205" s="879"/>
      <c r="P205" s="558" t="str">
        <f>IF(Contents!$B$2=2,"Yes","Да")</f>
        <v>Yes</v>
      </c>
      <c r="Q205" s="38"/>
      <c r="R205" s="39"/>
      <c r="S205" s="39"/>
      <c r="T205" s="39"/>
      <c r="U205" s="39"/>
      <c r="V205" s="589"/>
      <c r="W205" s="933">
        <v>1</v>
      </c>
      <c r="X205" s="589"/>
      <c r="Y205" s="589"/>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row>
    <row r="206" spans="1:48" s="375" customFormat="1" ht="22.5" customHeight="1">
      <c r="A206" s="14"/>
      <c r="B206" s="78" t="str">
        <f>IF(Contents!$B$2=2,"Over 50","Старше 50 лет")</f>
        <v>Over 50</v>
      </c>
      <c r="C206" s="53" t="s">
        <v>0</v>
      </c>
      <c r="D206" s="46">
        <v>23</v>
      </c>
      <c r="E206" s="46">
        <v>26</v>
      </c>
      <c r="F206" s="46">
        <v>24</v>
      </c>
      <c r="G206" s="46">
        <v>24</v>
      </c>
      <c r="H206" s="46">
        <v>23</v>
      </c>
      <c r="I206" s="38">
        <v>24</v>
      </c>
      <c r="J206" s="38">
        <v>26</v>
      </c>
      <c r="K206" s="38">
        <v>27</v>
      </c>
      <c r="L206" s="38">
        <v>31</v>
      </c>
      <c r="M206" s="38">
        <v>33</v>
      </c>
      <c r="N206" s="89">
        <v>35</v>
      </c>
      <c r="O206" s="879"/>
      <c r="P206" s="558" t="str">
        <f>IF(Contents!$B$2=2,"Yes","Да")</f>
        <v>Yes</v>
      </c>
      <c r="Q206" s="38"/>
      <c r="R206" s="39"/>
      <c r="S206" s="39"/>
      <c r="T206" s="39"/>
      <c r="U206" s="39"/>
      <c r="V206" s="589"/>
      <c r="W206" s="933">
        <v>1</v>
      </c>
      <c r="X206" s="589"/>
      <c r="Y206" s="589"/>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row>
    <row r="207" spans="1:48">
      <c r="B207" s="57"/>
      <c r="C207" s="53"/>
      <c r="D207" s="46"/>
      <c r="E207" s="46"/>
      <c r="F207" s="46"/>
      <c r="G207" s="46"/>
      <c r="H207" s="46"/>
      <c r="I207" s="38"/>
      <c r="J207" s="38"/>
      <c r="K207" s="38"/>
      <c r="L207" s="38"/>
      <c r="M207" s="38"/>
      <c r="N207" s="38"/>
      <c r="O207" s="38"/>
      <c r="P207" s="558"/>
      <c r="Q207" s="38"/>
      <c r="R207" s="39"/>
      <c r="S207" s="39"/>
      <c r="T207" s="39"/>
      <c r="U207" s="39"/>
      <c r="Y207" s="595"/>
    </row>
    <row r="208" spans="1:48" ht="34.5" customHeight="1">
      <c r="B208" s="371" t="str">
        <f>IF(Contents!$B$2=2," Employees hired from local communities","Работники, нанятые из представителей местного населения")</f>
        <v xml:space="preserve"> Employees hired from local communities</v>
      </c>
      <c r="C208" s="49"/>
      <c r="D208" s="372"/>
      <c r="E208" s="372"/>
      <c r="F208" s="372"/>
      <c r="G208" s="372"/>
      <c r="H208" s="372"/>
      <c r="I208" s="379"/>
      <c r="J208" s="379"/>
      <c r="K208" s="379"/>
      <c r="L208" s="379"/>
      <c r="M208" s="379"/>
      <c r="N208" s="379"/>
      <c r="O208" s="29"/>
      <c r="P208" s="187"/>
      <c r="Q208" s="29"/>
      <c r="R208" s="39"/>
      <c r="S208" s="39"/>
      <c r="T208" s="39"/>
      <c r="U208" s="39"/>
      <c r="Y208" s="595"/>
    </row>
    <row r="209" spans="2:25">
      <c r="B209" s="57" t="str">
        <f>IF(Contents!$B$2=2," Number of employees hired from local communities","Количество работников, нанятых из представителей местного населения")</f>
        <v xml:space="preserve"> Number of employees hired from local communities</v>
      </c>
      <c r="C209" s="53" t="str">
        <f>IF(Contents!$B$2=2,"people"," человек")</f>
        <v>people</v>
      </c>
      <c r="D209" s="81" t="s">
        <v>185</v>
      </c>
      <c r="E209" s="81" t="s">
        <v>185</v>
      </c>
      <c r="F209" s="81" t="s">
        <v>185</v>
      </c>
      <c r="G209" s="81" t="s">
        <v>185</v>
      </c>
      <c r="H209" s="81" t="s">
        <v>185</v>
      </c>
      <c r="I209" s="81" t="s">
        <v>185</v>
      </c>
      <c r="J209" s="82" t="s">
        <v>185</v>
      </c>
      <c r="K209" s="82" t="s">
        <v>185</v>
      </c>
      <c r="L209" s="38">
        <v>6450</v>
      </c>
      <c r="M209" s="38">
        <v>9647</v>
      </c>
      <c r="N209" s="89">
        <v>10184</v>
      </c>
      <c r="O209" s="38"/>
      <c r="P209" s="187"/>
      <c r="Q209" s="38"/>
      <c r="R209" s="39"/>
      <c r="S209" s="39"/>
      <c r="T209" s="39"/>
      <c r="U209" s="39"/>
      <c r="W209" s="933">
        <v>1</v>
      </c>
      <c r="X209" s="558"/>
      <c r="Y209" s="595"/>
    </row>
    <row r="210" spans="2:25" ht="22.5" customHeight="1">
      <c r="B210" s="380" t="str">
        <f>IF(Contents!$B$2=2," Percentage of employees hired from local communities","Доля работников, нанятых из представителей местного населения")</f>
        <v xml:space="preserve"> Percentage of employees hired from local communities</v>
      </c>
      <c r="C210" s="53" t="s">
        <v>0</v>
      </c>
      <c r="D210" s="81" t="s">
        <v>185</v>
      </c>
      <c r="E210" s="81" t="s">
        <v>185</v>
      </c>
      <c r="F210" s="81" t="s">
        <v>185</v>
      </c>
      <c r="G210" s="81" t="s">
        <v>185</v>
      </c>
      <c r="H210" s="81" t="s">
        <v>185</v>
      </c>
      <c r="I210" s="81" t="s">
        <v>185</v>
      </c>
      <c r="J210" s="82" t="s">
        <v>185</v>
      </c>
      <c r="K210" s="82" t="s">
        <v>185</v>
      </c>
      <c r="L210" s="38">
        <v>31</v>
      </c>
      <c r="M210" s="38">
        <v>44</v>
      </c>
      <c r="N210" s="89">
        <v>43</v>
      </c>
      <c r="O210" s="38"/>
      <c r="P210" s="187"/>
      <c r="Q210" s="38"/>
      <c r="R210" s="39"/>
      <c r="S210" s="39"/>
      <c r="T210" s="39"/>
      <c r="U210" s="39"/>
      <c r="W210" s="933">
        <v>1</v>
      </c>
    </row>
    <row r="211" spans="2:25" ht="21.6" customHeight="1">
      <c r="B211" s="78" t="str">
        <f>IF(Contents!$B$2=2,"Chelyabinsk Region","Челябинская область")</f>
        <v>Chelyabinsk Region</v>
      </c>
      <c r="C211" s="53" t="s">
        <v>0</v>
      </c>
      <c r="D211" s="81" t="s">
        <v>185</v>
      </c>
      <c r="E211" s="81" t="s">
        <v>185</v>
      </c>
      <c r="F211" s="81" t="s">
        <v>185</v>
      </c>
      <c r="G211" s="81" t="s">
        <v>185</v>
      </c>
      <c r="H211" s="81" t="s">
        <v>185</v>
      </c>
      <c r="I211" s="81" t="s">
        <v>185</v>
      </c>
      <c r="J211" s="82" t="s">
        <v>185</v>
      </c>
      <c r="K211" s="82" t="s">
        <v>185</v>
      </c>
      <c r="L211" s="38">
        <v>97</v>
      </c>
      <c r="M211" s="38">
        <v>97</v>
      </c>
      <c r="N211" s="89">
        <v>97</v>
      </c>
      <c r="O211" s="38"/>
      <c r="P211" s="187"/>
      <c r="Q211" s="38"/>
      <c r="R211" s="39"/>
      <c r="S211" s="39"/>
      <c r="T211" s="39"/>
      <c r="U211" s="39"/>
      <c r="W211" s="933">
        <v>1</v>
      </c>
    </row>
    <row r="212" spans="2:25" ht="21.6" customHeight="1">
      <c r="B212" s="78" t="str">
        <f>IF(Contents!$B$2=2,"Moscow and Moscow Region","Москва и Московская область")</f>
        <v>Moscow and Moscow Region</v>
      </c>
      <c r="C212" s="53" t="s">
        <v>0</v>
      </c>
      <c r="D212" s="81" t="s">
        <v>185</v>
      </c>
      <c r="E212" s="81" t="s">
        <v>185</v>
      </c>
      <c r="F212" s="81" t="s">
        <v>185</v>
      </c>
      <c r="G212" s="81" t="s">
        <v>185</v>
      </c>
      <c r="H212" s="81" t="s">
        <v>185</v>
      </c>
      <c r="I212" s="81" t="s">
        <v>185</v>
      </c>
      <c r="J212" s="82" t="s">
        <v>185</v>
      </c>
      <c r="K212" s="82" t="s">
        <v>185</v>
      </c>
      <c r="L212" s="38">
        <v>69</v>
      </c>
      <c r="M212" s="38">
        <v>72</v>
      </c>
      <c r="N212" s="89">
        <v>71</v>
      </c>
      <c r="O212" s="38"/>
      <c r="P212" s="187"/>
      <c r="Q212" s="38"/>
      <c r="R212" s="39"/>
      <c r="S212" s="39"/>
      <c r="T212" s="39"/>
      <c r="U212" s="39"/>
      <c r="W212" s="933">
        <v>1</v>
      </c>
    </row>
    <row r="213" spans="2:25" ht="21.6" customHeight="1">
      <c r="B213" s="78" t="str">
        <f>IF(Contents!$B$2=2,"Yamal-Nenets Autonomous Region","Ямало-Ненецкий автономный округ")</f>
        <v>Yamal-Nenets Autonomous Region</v>
      </c>
      <c r="C213" s="53" t="s">
        <v>0</v>
      </c>
      <c r="D213" s="81" t="s">
        <v>185</v>
      </c>
      <c r="E213" s="81" t="s">
        <v>185</v>
      </c>
      <c r="F213" s="81" t="s">
        <v>185</v>
      </c>
      <c r="G213" s="81" t="s">
        <v>185</v>
      </c>
      <c r="H213" s="81" t="s">
        <v>185</v>
      </c>
      <c r="I213" s="81" t="s">
        <v>185</v>
      </c>
      <c r="J213" s="82" t="s">
        <v>185</v>
      </c>
      <c r="K213" s="82" t="s">
        <v>185</v>
      </c>
      <c r="L213" s="38">
        <v>27</v>
      </c>
      <c r="M213" s="38">
        <v>25</v>
      </c>
      <c r="N213" s="89">
        <v>24</v>
      </c>
      <c r="O213" s="38"/>
      <c r="P213" s="187"/>
      <c r="Q213" s="38"/>
      <c r="R213" s="39"/>
      <c r="S213" s="39"/>
      <c r="T213" s="39"/>
      <c r="U213" s="39"/>
      <c r="W213" s="933">
        <v>1</v>
      </c>
    </row>
    <row r="214" spans="2:25" ht="21.6" customHeight="1">
      <c r="B214" s="78" t="str">
        <f>IF(Contents!$B$2=2,"St. Petersburg and Leningrad Region","Санкт-Петербург и Ленинградская область")</f>
        <v>St. Petersburg and Leningrad Region</v>
      </c>
      <c r="C214" s="53" t="s">
        <v>0</v>
      </c>
      <c r="D214" s="81" t="s">
        <v>185</v>
      </c>
      <c r="E214" s="81" t="s">
        <v>185</v>
      </c>
      <c r="F214" s="81" t="s">
        <v>185</v>
      </c>
      <c r="G214" s="81" t="s">
        <v>185</v>
      </c>
      <c r="H214" s="81" t="s">
        <v>185</v>
      </c>
      <c r="I214" s="81" t="s">
        <v>185</v>
      </c>
      <c r="J214" s="82" t="s">
        <v>185</v>
      </c>
      <c r="K214" s="82" t="s">
        <v>185</v>
      </c>
      <c r="L214" s="38">
        <v>53</v>
      </c>
      <c r="M214" s="38">
        <v>51</v>
      </c>
      <c r="N214" s="89">
        <v>64</v>
      </c>
      <c r="O214" s="38"/>
      <c r="P214" s="187"/>
      <c r="Q214" s="38"/>
      <c r="R214" s="39"/>
      <c r="S214" s="39"/>
      <c r="T214" s="39"/>
      <c r="U214" s="39"/>
      <c r="W214" s="933">
        <v>1</v>
      </c>
    </row>
    <row r="215" spans="2:25" ht="35.1" customHeight="1">
      <c r="B215" s="57" t="str">
        <f>IF(Contents!$B$2=2,"Number of top managers hired from local communities","Количество топ-менеджеров, нанятых из представителей местного населения")</f>
        <v>Number of top managers hired from local communities</v>
      </c>
      <c r="C215" s="53" t="str">
        <f>IF(Contents!$B$2=2,"people"," человек")</f>
        <v>people</v>
      </c>
      <c r="D215" s="81" t="s">
        <v>185</v>
      </c>
      <c r="E215" s="81" t="s">
        <v>185</v>
      </c>
      <c r="F215" s="81" t="s">
        <v>185</v>
      </c>
      <c r="G215" s="81" t="s">
        <v>185</v>
      </c>
      <c r="H215" s="81" t="s">
        <v>185</v>
      </c>
      <c r="I215" s="81" t="s">
        <v>185</v>
      </c>
      <c r="J215" s="82" t="s">
        <v>185</v>
      </c>
      <c r="K215" s="82" t="s">
        <v>185</v>
      </c>
      <c r="L215" s="38">
        <v>60</v>
      </c>
      <c r="M215" s="38">
        <v>170</v>
      </c>
      <c r="N215" s="89">
        <v>180</v>
      </c>
      <c r="O215" s="38"/>
      <c r="P215" s="558" t="str">
        <f>IF(Contents!$B$2=2,"Yes","Да")</f>
        <v>Yes</v>
      </c>
      <c r="Q215" s="38"/>
      <c r="R215" s="187" t="s">
        <v>126</v>
      </c>
      <c r="S215" s="39"/>
      <c r="T215" s="187" t="s">
        <v>127</v>
      </c>
      <c r="U215" s="39"/>
      <c r="W215" s="933">
        <v>1</v>
      </c>
      <c r="Y215" s="595"/>
    </row>
    <row r="216" spans="2:25" ht="22.5" customHeight="1">
      <c r="B216" s="380" t="str">
        <f>IF(Contents!$B$2=2,"Percentage of top managers hired from local communities","Доля топ-менеджеров, нанятых из представителей местного населения")</f>
        <v>Percentage of top managers hired from local communities</v>
      </c>
      <c r="C216" s="53" t="s">
        <v>0</v>
      </c>
      <c r="D216" s="81" t="s">
        <v>185</v>
      </c>
      <c r="E216" s="81" t="s">
        <v>185</v>
      </c>
      <c r="F216" s="81" t="s">
        <v>185</v>
      </c>
      <c r="G216" s="81" t="s">
        <v>185</v>
      </c>
      <c r="H216" s="81" t="s">
        <v>185</v>
      </c>
      <c r="I216" s="81" t="s">
        <v>185</v>
      </c>
      <c r="J216" s="82" t="s">
        <v>185</v>
      </c>
      <c r="K216" s="82" t="s">
        <v>185</v>
      </c>
      <c r="L216" s="38">
        <v>63.157894736842103</v>
      </c>
      <c r="M216" s="38">
        <v>71</v>
      </c>
      <c r="N216" s="89">
        <v>74</v>
      </c>
      <c r="O216" s="38"/>
      <c r="P216" s="558" t="str">
        <f>IF(Contents!$B$2=2,"Yes","Да")</f>
        <v>Yes</v>
      </c>
      <c r="Q216" s="38"/>
      <c r="R216" s="187"/>
      <c r="S216" s="39"/>
      <c r="T216" s="39"/>
      <c r="U216" s="39"/>
      <c r="W216" s="933">
        <v>1</v>
      </c>
    </row>
    <row r="217" spans="2:25" ht="23.45" customHeight="1">
      <c r="B217" s="78" t="str">
        <f>IF(Contents!$B$2=2,"Chelyabinsk Region","Челябинская область")</f>
        <v>Chelyabinsk Region</v>
      </c>
      <c r="C217" s="53" t="s">
        <v>0</v>
      </c>
      <c r="D217" s="81" t="s">
        <v>185</v>
      </c>
      <c r="E217" s="81" t="s">
        <v>185</v>
      </c>
      <c r="F217" s="81" t="s">
        <v>185</v>
      </c>
      <c r="G217" s="81" t="s">
        <v>185</v>
      </c>
      <c r="H217" s="81" t="s">
        <v>185</v>
      </c>
      <c r="I217" s="81" t="s">
        <v>185</v>
      </c>
      <c r="J217" s="82" t="s">
        <v>185</v>
      </c>
      <c r="K217" s="82" t="s">
        <v>185</v>
      </c>
      <c r="L217" s="38">
        <v>91</v>
      </c>
      <c r="M217" s="38">
        <v>89</v>
      </c>
      <c r="N217" s="89">
        <v>90</v>
      </c>
      <c r="O217" s="38"/>
      <c r="P217" s="558" t="str">
        <f>IF(Contents!$B$2=2,"Yes","Да")</f>
        <v>Yes</v>
      </c>
      <c r="Q217" s="38"/>
      <c r="R217" s="39"/>
      <c r="S217" s="39"/>
      <c r="T217" s="39"/>
      <c r="U217" s="39"/>
      <c r="W217" s="933">
        <v>1</v>
      </c>
    </row>
    <row r="218" spans="2:25" ht="23.45" customHeight="1">
      <c r="B218" s="78" t="str">
        <f>IF(Contents!$B$2=2,"Moscow and Moscow Region","Москва и Московская область")</f>
        <v>Moscow and Moscow Region</v>
      </c>
      <c r="C218" s="53" t="s">
        <v>0</v>
      </c>
      <c r="D218" s="81" t="s">
        <v>185</v>
      </c>
      <c r="E218" s="81" t="s">
        <v>185</v>
      </c>
      <c r="F218" s="81" t="s">
        <v>185</v>
      </c>
      <c r="G218" s="81" t="s">
        <v>185</v>
      </c>
      <c r="H218" s="81" t="s">
        <v>185</v>
      </c>
      <c r="I218" s="81" t="s">
        <v>185</v>
      </c>
      <c r="J218" s="82" t="s">
        <v>185</v>
      </c>
      <c r="K218" s="82" t="s">
        <v>185</v>
      </c>
      <c r="L218" s="38">
        <v>82</v>
      </c>
      <c r="M218" s="38">
        <v>78</v>
      </c>
      <c r="N218" s="89">
        <v>82</v>
      </c>
      <c r="O218" s="38"/>
      <c r="P218" s="558" t="str">
        <f>IF(Contents!$B$2=2,"Yes","Да")</f>
        <v>Yes</v>
      </c>
      <c r="Q218" s="38"/>
      <c r="R218" s="39"/>
      <c r="S218" s="39"/>
      <c r="T218" s="39"/>
      <c r="U218" s="39"/>
      <c r="W218" s="933">
        <v>1</v>
      </c>
    </row>
    <row r="219" spans="2:25" ht="23.45" customHeight="1">
      <c r="B219" s="78" t="str">
        <f>IF(Contents!$B$2=2,"Yamal-Nenets Autonomous Region","Ямало-Ненецкий автономный округ")</f>
        <v>Yamal-Nenets Autonomous Region</v>
      </c>
      <c r="C219" s="53" t="s">
        <v>0</v>
      </c>
      <c r="D219" s="81" t="s">
        <v>185</v>
      </c>
      <c r="E219" s="81" t="s">
        <v>185</v>
      </c>
      <c r="F219" s="81" t="s">
        <v>185</v>
      </c>
      <c r="G219" s="81" t="s">
        <v>185</v>
      </c>
      <c r="H219" s="81" t="s">
        <v>185</v>
      </c>
      <c r="I219" s="81" t="s">
        <v>185</v>
      </c>
      <c r="J219" s="82" t="s">
        <v>185</v>
      </c>
      <c r="K219" s="82" t="s">
        <v>185</v>
      </c>
      <c r="L219" s="38">
        <v>68</v>
      </c>
      <c r="M219" s="38">
        <v>64</v>
      </c>
      <c r="N219" s="89">
        <v>74</v>
      </c>
      <c r="O219" s="38"/>
      <c r="P219" s="558" t="str">
        <f>IF(Contents!$B$2=2,"Yes","Да")</f>
        <v>Yes</v>
      </c>
      <c r="Q219" s="38"/>
      <c r="R219" s="39"/>
      <c r="S219" s="39"/>
      <c r="T219" s="39"/>
      <c r="U219" s="39"/>
      <c r="W219" s="933">
        <v>1</v>
      </c>
    </row>
    <row r="220" spans="2:25" ht="23.45" customHeight="1">
      <c r="B220" s="78" t="str">
        <f>IF(Contents!$B$2=2,"St. Petersburg and Leningrad Region","Санкт-Петербург и Ленинградская область")</f>
        <v>St. Petersburg and Leningrad Region</v>
      </c>
      <c r="C220" s="53" t="s">
        <v>0</v>
      </c>
      <c r="D220" s="81" t="s">
        <v>185</v>
      </c>
      <c r="E220" s="81" t="s">
        <v>185</v>
      </c>
      <c r="F220" s="81" t="s">
        <v>185</v>
      </c>
      <c r="G220" s="81" t="s">
        <v>185</v>
      </c>
      <c r="H220" s="81" t="s">
        <v>185</v>
      </c>
      <c r="I220" s="81" t="s">
        <v>185</v>
      </c>
      <c r="J220" s="82" t="s">
        <v>185</v>
      </c>
      <c r="K220" s="82" t="s">
        <v>185</v>
      </c>
      <c r="L220" s="38">
        <v>44</v>
      </c>
      <c r="M220" s="38">
        <v>47</v>
      </c>
      <c r="N220" s="89">
        <v>81</v>
      </c>
      <c r="O220" s="38"/>
      <c r="P220" s="558" t="str">
        <f>IF(Contents!$B$2=2,"Yes","Да")</f>
        <v>Yes</v>
      </c>
      <c r="Q220" s="38"/>
      <c r="R220" s="39"/>
      <c r="S220" s="39"/>
      <c r="T220" s="39"/>
      <c r="U220" s="39"/>
      <c r="W220" s="933">
        <v>1</v>
      </c>
    </row>
    <row r="221" spans="2:25">
      <c r="B221" s="285"/>
      <c r="C221" s="53"/>
      <c r="D221" s="46"/>
      <c r="E221" s="46"/>
      <c r="F221" s="46"/>
      <c r="G221" s="46"/>
      <c r="H221" s="46"/>
      <c r="I221" s="46"/>
      <c r="J221" s="38"/>
      <c r="K221" s="38"/>
      <c r="L221" s="38"/>
      <c r="M221" s="38"/>
      <c r="N221" s="108"/>
      <c r="O221" s="38"/>
      <c r="P221" s="558"/>
      <c r="Q221" s="38"/>
      <c r="R221" s="39"/>
      <c r="S221" s="39"/>
      <c r="T221" s="39"/>
      <c r="U221" s="39"/>
    </row>
    <row r="222" spans="2:25">
      <c r="B222" s="25" t="str">
        <f>IF(Contents!$B$2=2,"Notes:","Примечания: ")</f>
        <v>Notes:</v>
      </c>
      <c r="C222" s="61"/>
      <c r="D222" s="108"/>
      <c r="E222" s="108"/>
      <c r="F222" s="108"/>
      <c r="G222" s="108"/>
      <c r="H222" s="108"/>
      <c r="I222" s="108"/>
      <c r="J222" s="108"/>
      <c r="K222" s="108"/>
      <c r="L222" s="108"/>
      <c r="M222" s="108"/>
      <c r="N222" s="109"/>
      <c r="O222" s="38"/>
      <c r="P222" s="558"/>
      <c r="Q222" s="38"/>
      <c r="R222" s="39"/>
      <c r="S222" s="39"/>
      <c r="T222" s="39"/>
      <c r="U222" s="39"/>
    </row>
    <row r="223" spans="2:25">
      <c r="B223" s="26" t="str">
        <f>IF(Contents!$B$2=2,"Local population means residents of a specific territory irrespective of ethnic composition and cultural characteristics.","Местное население – население определенной территории без учета его этнического состава и культурных особенностей.")</f>
        <v>Local population means residents of a specific territory irrespective of ethnic composition and cultural characteristics.</v>
      </c>
      <c r="C223" s="294"/>
      <c r="D223" s="381"/>
      <c r="E223" s="381"/>
      <c r="F223" s="381"/>
      <c r="G223" s="381"/>
      <c r="H223" s="381"/>
      <c r="I223" s="381"/>
      <c r="J223" s="381"/>
      <c r="K223" s="381"/>
      <c r="L223" s="381"/>
      <c r="M223" s="381"/>
      <c r="N223" s="381"/>
      <c r="O223" s="29"/>
      <c r="P223" s="558"/>
      <c r="Q223" s="29"/>
      <c r="R223" s="39"/>
      <c r="S223" s="39"/>
      <c r="T223" s="39"/>
      <c r="U223" s="39"/>
    </row>
    <row r="224" spans="2:25">
      <c r="B224" s="26" t="str">
        <f>IF(Contents!$B$2=2,"Top managers are general directors, deputy general directors of subsidiaries and associates of the NOVATEK Group, members of the Management Committee, and directors of departments of PJSC NOVATEK.","Топ-менеджеры – генеральные директора, заместители генеральных директоров дочерних и зависимых обществ Группы компаний ПАО «НОВАТЭК», члены Правления и директора департаментов ПАО «НОВАТЭК».")</f>
        <v>Top managers are general directors, deputy general directors of subsidiaries and associates of the NOVATEK Group, members of the Management Committee, and directors of departments of PJSC NOVATEK.</v>
      </c>
      <c r="C224" s="294"/>
      <c r="D224" s="381"/>
      <c r="E224" s="381"/>
      <c r="F224" s="381"/>
      <c r="G224" s="381"/>
      <c r="H224" s="381"/>
      <c r="I224" s="381"/>
      <c r="J224" s="381"/>
      <c r="K224" s="381"/>
      <c r="L224" s="381"/>
      <c r="M224" s="381"/>
      <c r="N224" s="381"/>
      <c r="O224" s="29"/>
      <c r="P224" s="558"/>
      <c r="Q224" s="29"/>
      <c r="R224" s="39"/>
      <c r="S224" s="39"/>
      <c r="T224" s="39"/>
      <c r="U224" s="39"/>
    </row>
    <row r="225" spans="1:25">
      <c r="B225" s="57"/>
      <c r="C225" s="53"/>
      <c r="D225" s="46"/>
      <c r="E225" s="46"/>
      <c r="F225" s="46"/>
      <c r="G225" s="46"/>
      <c r="H225" s="46"/>
      <c r="I225" s="38"/>
      <c r="J225" s="38"/>
      <c r="K225" s="38"/>
      <c r="L225" s="38"/>
      <c r="M225" s="38"/>
      <c r="N225" s="38"/>
      <c r="O225" s="38"/>
      <c r="P225" s="558"/>
      <c r="Q225" s="38"/>
      <c r="R225" s="39"/>
      <c r="S225" s="39"/>
      <c r="T225" s="39"/>
      <c r="U225" s="39"/>
      <c r="Y225" s="595"/>
    </row>
    <row r="226" spans="1:25" ht="20.100000000000001" customHeight="1">
      <c r="B226" s="45" t="str">
        <f>IF(Contents!$B$2=2,"Staff turnover and new employees","Текучесть кадров и новые работники")</f>
        <v>Staff turnover and new employees</v>
      </c>
      <c r="C226" s="105"/>
      <c r="D226" s="106"/>
      <c r="E226" s="106"/>
      <c r="F226" s="106"/>
      <c r="G226" s="106"/>
      <c r="H226" s="106"/>
      <c r="I226" s="363"/>
      <c r="J226" s="363"/>
      <c r="K226" s="363"/>
      <c r="L226" s="363"/>
      <c r="M226" s="363"/>
      <c r="N226" s="363"/>
      <c r="O226" s="40"/>
      <c r="P226" s="558"/>
      <c r="Q226" s="40"/>
      <c r="R226" s="39"/>
      <c r="S226" s="39"/>
      <c r="T226" s="39"/>
      <c r="U226" s="39"/>
    </row>
    <row r="227" spans="1:25" ht="22.5" customHeight="1">
      <c r="B227" s="371" t="str">
        <f>IF(Contents!$B$2=2,"Employee turnover rate","Коэффициент текучести кадров")</f>
        <v>Employee turnover rate</v>
      </c>
      <c r="C227" s="49" t="s">
        <v>0</v>
      </c>
      <c r="D227" s="382" t="s">
        <v>185</v>
      </c>
      <c r="E227" s="382" t="s">
        <v>185</v>
      </c>
      <c r="F227" s="382">
        <v>6</v>
      </c>
      <c r="G227" s="382">
        <v>7</v>
      </c>
      <c r="H227" s="382">
        <v>8</v>
      </c>
      <c r="I227" s="383">
        <v>6</v>
      </c>
      <c r="J227" s="383">
        <v>8</v>
      </c>
      <c r="K227" s="383">
        <v>7</v>
      </c>
      <c r="L227" s="383">
        <v>5</v>
      </c>
      <c r="M227" s="383">
        <v>5</v>
      </c>
      <c r="N227" s="379">
        <v>4</v>
      </c>
      <c r="O227" s="879"/>
      <c r="P227" s="558" t="str">
        <f>IF(Contents!$B$2=2,"Yes","Да")</f>
        <v>Yes</v>
      </c>
      <c r="Q227" s="29"/>
      <c r="R227" s="39" t="s">
        <v>128</v>
      </c>
      <c r="S227" s="39"/>
      <c r="T227" s="39" t="s">
        <v>129</v>
      </c>
      <c r="U227" s="39" t="str">
        <f>IF(Contents!$B$2=2,"PBCS 34","СОКБ 34")</f>
        <v>PBCS 34</v>
      </c>
      <c r="W227" s="933">
        <v>1</v>
      </c>
    </row>
    <row r="228" spans="1:25" ht="22.5" customHeight="1">
      <c r="B228" s="364" t="str">
        <f>IF(Contents!$B$2=2,"by gender","по полу")</f>
        <v>by gender</v>
      </c>
      <c r="C228" s="77"/>
      <c r="D228" s="384"/>
      <c r="E228" s="384"/>
      <c r="F228" s="384"/>
      <c r="G228" s="384"/>
      <c r="H228" s="384"/>
      <c r="I228" s="385"/>
      <c r="J228" s="384"/>
      <c r="K228" s="384"/>
      <c r="L228" s="384"/>
      <c r="M228" s="384"/>
      <c r="N228" s="111"/>
      <c r="O228" s="37"/>
      <c r="P228" s="558"/>
      <c r="Q228" s="29"/>
      <c r="R228" s="39" t="s">
        <v>128</v>
      </c>
      <c r="S228" s="39"/>
      <c r="T228" s="39" t="s">
        <v>129</v>
      </c>
      <c r="U228" s="39"/>
    </row>
    <row r="229" spans="1:25" ht="22.5" customHeight="1">
      <c r="B229" s="93" t="str">
        <f>IF(Contents!$B$2=2,"Male","Мужчины")</f>
        <v>Male</v>
      </c>
      <c r="C229" s="53" t="s">
        <v>0</v>
      </c>
      <c r="D229" s="81" t="s">
        <v>185</v>
      </c>
      <c r="E229" s="81" t="s">
        <v>185</v>
      </c>
      <c r="F229" s="81">
        <v>6</v>
      </c>
      <c r="G229" s="81">
        <v>6</v>
      </c>
      <c r="H229" s="81">
        <v>6</v>
      </c>
      <c r="I229" s="81">
        <v>5</v>
      </c>
      <c r="J229" s="82">
        <v>7</v>
      </c>
      <c r="K229" s="82">
        <v>6</v>
      </c>
      <c r="L229" s="82">
        <v>5</v>
      </c>
      <c r="M229" s="82">
        <v>5</v>
      </c>
      <c r="N229" s="89">
        <v>4</v>
      </c>
      <c r="O229" s="879"/>
      <c r="P229" s="558" t="str">
        <f>IF(Contents!$B$2=2,"Yes","Да")</f>
        <v>Yes</v>
      </c>
      <c r="Q229" s="29"/>
      <c r="R229" s="39"/>
      <c r="S229" s="39"/>
      <c r="T229" s="39"/>
      <c r="U229" s="39"/>
      <c r="W229" s="933">
        <v>1</v>
      </c>
    </row>
    <row r="230" spans="1:25" ht="22.5" customHeight="1">
      <c r="B230" s="93" t="str">
        <f>IF(Contents!$B$2=2,"Female","Женщины")</f>
        <v>Female</v>
      </c>
      <c r="C230" s="53" t="s">
        <v>0</v>
      </c>
      <c r="D230" s="81" t="s">
        <v>185</v>
      </c>
      <c r="E230" s="81" t="s">
        <v>185</v>
      </c>
      <c r="F230" s="81">
        <v>8</v>
      </c>
      <c r="G230" s="81">
        <v>11</v>
      </c>
      <c r="H230" s="81">
        <v>12</v>
      </c>
      <c r="I230" s="81">
        <v>9</v>
      </c>
      <c r="J230" s="82">
        <v>11</v>
      </c>
      <c r="K230" s="82">
        <v>9</v>
      </c>
      <c r="L230" s="82">
        <v>9</v>
      </c>
      <c r="M230" s="82">
        <v>8</v>
      </c>
      <c r="N230" s="89">
        <v>6</v>
      </c>
      <c r="O230" s="879"/>
      <c r="P230" s="558" t="str">
        <f>IF(Contents!$B$2=2,"Yes","Да")</f>
        <v>Yes</v>
      </c>
      <c r="Q230" s="29"/>
      <c r="R230" s="39"/>
      <c r="S230" s="39"/>
      <c r="T230" s="39"/>
      <c r="U230" s="39"/>
      <c r="W230" s="933">
        <v>1</v>
      </c>
    </row>
    <row r="231" spans="1:25" ht="22.5" customHeight="1">
      <c r="B231" s="23" t="str">
        <f>IF(Contents!$B$2=2,"by region","по региону")</f>
        <v>by region</v>
      </c>
      <c r="C231" s="77"/>
      <c r="D231" s="111"/>
      <c r="E231" s="111"/>
      <c r="F231" s="111"/>
      <c r="G231" s="111"/>
      <c r="H231" s="111"/>
      <c r="I231" s="366"/>
      <c r="J231" s="111"/>
      <c r="K231" s="111"/>
      <c r="L231" s="111"/>
      <c r="M231" s="111"/>
      <c r="N231" s="111"/>
      <c r="O231" s="37"/>
      <c r="P231" s="558"/>
      <c r="Q231" s="29"/>
      <c r="R231" s="39" t="s">
        <v>128</v>
      </c>
      <c r="S231" s="39"/>
      <c r="T231" s="39" t="s">
        <v>129</v>
      </c>
      <c r="U231" s="39"/>
    </row>
    <row r="232" spans="1:25" ht="22.5" customHeight="1">
      <c r="A232" s="177"/>
      <c r="B232" s="177" t="str">
        <f>IF(Contents!$B$2=2,"Russian Federation","Российская Федерация")</f>
        <v>Russian Federation</v>
      </c>
      <c r="C232" s="53"/>
      <c r="D232" s="46"/>
      <c r="E232" s="46"/>
      <c r="F232" s="46"/>
      <c r="G232" s="46"/>
      <c r="H232" s="46"/>
      <c r="I232" s="38"/>
      <c r="J232" s="38"/>
      <c r="K232" s="38"/>
      <c r="L232" s="38"/>
      <c r="M232" s="38"/>
      <c r="N232" s="89"/>
      <c r="O232" s="38"/>
      <c r="P232" s="558"/>
      <c r="Q232" s="29"/>
      <c r="R232" s="39"/>
      <c r="S232" s="39"/>
      <c r="T232" s="39"/>
      <c r="U232" s="39"/>
      <c r="Y232" s="595"/>
    </row>
    <row r="233" spans="1:25" ht="22.5" customHeight="1">
      <c r="A233" s="167"/>
      <c r="B233" s="207" t="str">
        <f>IF(Contents!$B$2=2,"Yamal-Nenets Autonomous Region","Ямало-Ненецкий автономный округ")</f>
        <v>Yamal-Nenets Autonomous Region</v>
      </c>
      <c r="C233" s="53" t="s">
        <v>0</v>
      </c>
      <c r="D233" s="81" t="s">
        <v>185</v>
      </c>
      <c r="E233" s="81" t="s">
        <v>185</v>
      </c>
      <c r="F233" s="81">
        <v>5</v>
      </c>
      <c r="G233" s="81">
        <v>5</v>
      </c>
      <c r="H233" s="81">
        <v>4</v>
      </c>
      <c r="I233" s="81">
        <v>3</v>
      </c>
      <c r="J233" s="82">
        <v>4</v>
      </c>
      <c r="K233" s="82">
        <v>4</v>
      </c>
      <c r="L233" s="82">
        <v>2</v>
      </c>
      <c r="M233" s="82">
        <v>3</v>
      </c>
      <c r="N233" s="89">
        <v>3</v>
      </c>
      <c r="O233" s="879"/>
      <c r="P233" s="558" t="str">
        <f>IF(Contents!$B$2=2,"Yes","Да")</f>
        <v>Yes</v>
      </c>
      <c r="Q233" s="29"/>
      <c r="R233" s="39"/>
      <c r="S233" s="39"/>
      <c r="T233" s="39"/>
      <c r="U233" s="39"/>
      <c r="W233" s="933">
        <v>1</v>
      </c>
      <c r="Y233" s="595"/>
    </row>
    <row r="234" spans="1:25" ht="22.5" customHeight="1">
      <c r="A234" s="167"/>
      <c r="B234" s="207" t="str">
        <f>IF(Contents!$B$2=2,"Moscow and Moscow Region","Москва и Московская область")</f>
        <v>Moscow and Moscow Region</v>
      </c>
      <c r="C234" s="53" t="s">
        <v>0</v>
      </c>
      <c r="D234" s="81" t="s">
        <v>185</v>
      </c>
      <c r="E234" s="81" t="s">
        <v>185</v>
      </c>
      <c r="F234" s="81">
        <v>7</v>
      </c>
      <c r="G234" s="81">
        <v>7</v>
      </c>
      <c r="H234" s="81">
        <v>8</v>
      </c>
      <c r="I234" s="81">
        <v>7</v>
      </c>
      <c r="J234" s="82">
        <v>10</v>
      </c>
      <c r="K234" s="82">
        <v>10</v>
      </c>
      <c r="L234" s="82">
        <v>7</v>
      </c>
      <c r="M234" s="82">
        <v>7.0000000000000009</v>
      </c>
      <c r="N234" s="89">
        <v>5</v>
      </c>
      <c r="O234" s="879"/>
      <c r="P234" s="558" t="str">
        <f>IF(Contents!$B$2=2,"Yes","Да")</f>
        <v>Yes</v>
      </c>
      <c r="Q234" s="29"/>
      <c r="R234" s="39"/>
      <c r="S234" s="39"/>
      <c r="T234" s="39"/>
      <c r="U234" s="39"/>
      <c r="W234" s="933">
        <v>1</v>
      </c>
      <c r="Y234" s="595"/>
    </row>
    <row r="235" spans="1:25" ht="22.5" customHeight="1">
      <c r="A235" s="167"/>
      <c r="B235" s="207" t="str">
        <f>IF(Contents!$B$2=2,"Chelyabinsk Region","Челябинская область")</f>
        <v>Chelyabinsk Region</v>
      </c>
      <c r="C235" s="53" t="s">
        <v>0</v>
      </c>
      <c r="D235" s="81" t="s">
        <v>185</v>
      </c>
      <c r="E235" s="81" t="s">
        <v>185</v>
      </c>
      <c r="F235" s="81">
        <v>14</v>
      </c>
      <c r="G235" s="81">
        <v>20</v>
      </c>
      <c r="H235" s="81">
        <v>26</v>
      </c>
      <c r="I235" s="81">
        <v>17</v>
      </c>
      <c r="J235" s="82">
        <v>23</v>
      </c>
      <c r="K235" s="82">
        <v>16</v>
      </c>
      <c r="L235" s="82">
        <v>19</v>
      </c>
      <c r="M235" s="82">
        <v>17</v>
      </c>
      <c r="N235" s="89">
        <v>11</v>
      </c>
      <c r="O235" s="879"/>
      <c r="P235" s="558" t="str">
        <f>IF(Contents!$B$2=2,"Yes","Да")</f>
        <v>Yes</v>
      </c>
      <c r="Q235" s="29"/>
      <c r="R235" s="39"/>
      <c r="S235" s="39"/>
      <c r="T235" s="39"/>
      <c r="U235" s="39"/>
      <c r="W235" s="933">
        <v>1</v>
      </c>
      <c r="Y235" s="595"/>
    </row>
    <row r="236" spans="1:25" ht="22.5" customHeight="1">
      <c r="A236" s="167"/>
      <c r="B236" s="207" t="str">
        <f>IF(Contents!$B$2=2,"St. Petersburg and Leningrad Region","Санкт-Петербург и Ленинградская область")</f>
        <v>St. Petersburg and Leningrad Region</v>
      </c>
      <c r="C236" s="53" t="s">
        <v>0</v>
      </c>
      <c r="D236" s="81" t="s">
        <v>185</v>
      </c>
      <c r="E236" s="81" t="s">
        <v>185</v>
      </c>
      <c r="F236" s="81">
        <v>3</v>
      </c>
      <c r="G236" s="81">
        <v>3</v>
      </c>
      <c r="H236" s="81">
        <v>5</v>
      </c>
      <c r="I236" s="81">
        <v>6</v>
      </c>
      <c r="J236" s="82">
        <v>9</v>
      </c>
      <c r="K236" s="82">
        <v>7</v>
      </c>
      <c r="L236" s="82">
        <v>6</v>
      </c>
      <c r="M236" s="82">
        <v>7.0000000000000009</v>
      </c>
      <c r="N236" s="89">
        <v>7</v>
      </c>
      <c r="O236" s="879"/>
      <c r="P236" s="558" t="str">
        <f>IF(Contents!$B$2=2,"Yes","Да")</f>
        <v>Yes</v>
      </c>
      <c r="Q236" s="29"/>
      <c r="R236" s="39"/>
      <c r="S236" s="39"/>
      <c r="T236" s="39"/>
      <c r="U236" s="39"/>
      <c r="W236" s="933">
        <v>1</v>
      </c>
      <c r="Y236" s="595"/>
    </row>
    <row r="237" spans="1:25" ht="22.5" customHeight="1">
      <c r="A237" s="529"/>
      <c r="B237" s="285" t="str">
        <f>IF(Contents!$B$2=2,"Other regions","Прочие регионы")</f>
        <v>Other regions</v>
      </c>
      <c r="C237" s="53"/>
      <c r="D237" s="81"/>
      <c r="E237" s="81"/>
      <c r="F237" s="81"/>
      <c r="G237" s="81"/>
      <c r="H237" s="81"/>
      <c r="I237" s="81"/>
      <c r="J237" s="81"/>
      <c r="K237" s="81"/>
      <c r="L237" s="38"/>
      <c r="M237" s="38"/>
      <c r="N237" s="89"/>
      <c r="O237" s="38"/>
      <c r="P237" s="558"/>
      <c r="Q237" s="29"/>
      <c r="R237" s="39"/>
      <c r="S237" s="39"/>
      <c r="T237" s="39"/>
      <c r="U237" s="39"/>
      <c r="W237" s="933">
        <v>1</v>
      </c>
      <c r="Y237" s="595"/>
    </row>
    <row r="238" spans="1:25" ht="22.5" hidden="1" customHeight="1" outlineLevel="1">
      <c r="A238" s="530"/>
      <c r="B238" s="367" t="str">
        <f>IF(Contents!$B$2=2,"Tyumen Region","Тюменская область")</f>
        <v>Tyumen Region</v>
      </c>
      <c r="C238" s="53" t="s">
        <v>0</v>
      </c>
      <c r="D238" s="81" t="s">
        <v>185</v>
      </c>
      <c r="E238" s="81" t="s">
        <v>185</v>
      </c>
      <c r="F238" s="81">
        <v>4</v>
      </c>
      <c r="G238" s="81">
        <v>8</v>
      </c>
      <c r="H238" s="81">
        <v>6</v>
      </c>
      <c r="I238" s="81">
        <v>2</v>
      </c>
      <c r="J238" s="82">
        <v>4</v>
      </c>
      <c r="K238" s="82">
        <v>7</v>
      </c>
      <c r="L238" s="82">
        <v>6</v>
      </c>
      <c r="M238" s="82">
        <v>7.0000000000000009</v>
      </c>
      <c r="N238" s="89">
        <v>8</v>
      </c>
      <c r="O238" s="38"/>
      <c r="P238" s="558" t="str">
        <f>IF(Contents!$B$2=2,"Yes","Да")</f>
        <v>Yes</v>
      </c>
      <c r="Q238" s="29"/>
      <c r="R238" s="39"/>
      <c r="S238" s="39"/>
      <c r="T238" s="39"/>
      <c r="U238" s="39"/>
      <c r="W238" s="933">
        <v>1</v>
      </c>
      <c r="Y238" s="595"/>
    </row>
    <row r="239" spans="1:25" ht="22.5" hidden="1" customHeight="1" outlineLevel="1">
      <c r="A239" s="530"/>
      <c r="B239" s="367" t="str">
        <f>IF(Contents!$B$2=2,"Rostov Region","Ростовская область")</f>
        <v>Rostov Region</v>
      </c>
      <c r="C239" s="53" t="s">
        <v>0</v>
      </c>
      <c r="D239" s="81" t="s">
        <v>185</v>
      </c>
      <c r="E239" s="81" t="s">
        <v>185</v>
      </c>
      <c r="F239" s="81">
        <v>23</v>
      </c>
      <c r="G239" s="81">
        <v>23</v>
      </c>
      <c r="H239" s="81">
        <v>40</v>
      </c>
      <c r="I239" s="81">
        <v>20</v>
      </c>
      <c r="J239" s="82">
        <v>34</v>
      </c>
      <c r="K239" s="82">
        <v>16</v>
      </c>
      <c r="L239" s="82">
        <v>21</v>
      </c>
      <c r="M239" s="82">
        <v>12</v>
      </c>
      <c r="N239" s="89">
        <v>15</v>
      </c>
      <c r="O239" s="29"/>
      <c r="P239" s="558" t="str">
        <f>IF(Contents!$B$2=2,"Yes","Да")</f>
        <v>Yes</v>
      </c>
      <c r="Q239" s="29"/>
      <c r="R239" s="39"/>
      <c r="S239" s="39"/>
      <c r="T239" s="39"/>
      <c r="U239" s="39"/>
      <c r="W239" s="933">
        <v>1</v>
      </c>
      <c r="Y239" s="595"/>
    </row>
    <row r="240" spans="1:25" ht="22.5" hidden="1" customHeight="1" outlineLevel="1">
      <c r="A240" s="530"/>
      <c r="B240" s="367" t="str">
        <f>IF(Contents!$B$2=2,"Kostroma Region","Костромская область")</f>
        <v>Kostroma Region</v>
      </c>
      <c r="C240" s="53" t="s">
        <v>0</v>
      </c>
      <c r="D240" s="81" t="s">
        <v>185</v>
      </c>
      <c r="E240" s="81" t="s">
        <v>185</v>
      </c>
      <c r="F240" s="81">
        <v>5</v>
      </c>
      <c r="G240" s="81">
        <v>3</v>
      </c>
      <c r="H240" s="81">
        <v>7</v>
      </c>
      <c r="I240" s="81">
        <v>2</v>
      </c>
      <c r="J240" s="82">
        <v>7</v>
      </c>
      <c r="K240" s="82">
        <v>5</v>
      </c>
      <c r="L240" s="82">
        <v>3</v>
      </c>
      <c r="M240" s="82">
        <v>2</v>
      </c>
      <c r="N240" s="89">
        <v>5</v>
      </c>
      <c r="O240" s="29"/>
      <c r="P240" s="558" t="str">
        <f>IF(Contents!$B$2=2,"Yes","Да")</f>
        <v>Yes</v>
      </c>
      <c r="Q240" s="29"/>
      <c r="R240" s="39"/>
      <c r="S240" s="39"/>
      <c r="T240" s="39"/>
      <c r="U240" s="39"/>
      <c r="W240" s="933">
        <v>1</v>
      </c>
      <c r="Y240" s="595"/>
    </row>
    <row r="241" spans="1:25" ht="22.5" hidden="1" customHeight="1" outlineLevel="1">
      <c r="A241" s="530"/>
      <c r="B241" s="367" t="str">
        <f>IF(Contents!$B$2=2,"Volgograd Region","Волгоградская область")</f>
        <v>Volgograd Region</v>
      </c>
      <c r="C241" s="53" t="s">
        <v>0</v>
      </c>
      <c r="D241" s="81" t="s">
        <v>185</v>
      </c>
      <c r="E241" s="81" t="s">
        <v>185</v>
      </c>
      <c r="F241" s="81">
        <v>2</v>
      </c>
      <c r="G241" s="81">
        <v>36</v>
      </c>
      <c r="H241" s="81">
        <v>57</v>
      </c>
      <c r="I241" s="81">
        <v>36</v>
      </c>
      <c r="J241" s="82">
        <v>42</v>
      </c>
      <c r="K241" s="82">
        <v>21</v>
      </c>
      <c r="L241" s="82">
        <v>25</v>
      </c>
      <c r="M241" s="82">
        <v>25</v>
      </c>
      <c r="N241" s="89">
        <v>16</v>
      </c>
      <c r="O241" s="29"/>
      <c r="P241" s="558" t="str">
        <f>IF(Contents!$B$2=2,"Yes","Да")</f>
        <v>Yes</v>
      </c>
      <c r="Q241" s="29"/>
      <c r="R241" s="39"/>
      <c r="S241" s="39"/>
      <c r="T241" s="39"/>
      <c r="U241" s="39"/>
      <c r="W241" s="933">
        <v>1</v>
      </c>
      <c r="Y241" s="595"/>
    </row>
    <row r="242" spans="1:25" ht="22.5" hidden="1" customHeight="1" outlineLevel="1">
      <c r="A242" s="530"/>
      <c r="B242" s="367" t="str">
        <f>IF(Contents!$B$2=2,"Murmansk Region","Мурманская область")</f>
        <v>Murmansk Region</v>
      </c>
      <c r="C242" s="53" t="s">
        <v>0</v>
      </c>
      <c r="D242" s="81" t="s">
        <v>185</v>
      </c>
      <c r="E242" s="81" t="s">
        <v>185</v>
      </c>
      <c r="F242" s="81">
        <v>11</v>
      </c>
      <c r="G242" s="81">
        <v>7</v>
      </c>
      <c r="H242" s="81">
        <v>15</v>
      </c>
      <c r="I242" s="81">
        <v>10</v>
      </c>
      <c r="J242" s="82">
        <v>13</v>
      </c>
      <c r="K242" s="82">
        <v>13</v>
      </c>
      <c r="L242" s="82">
        <v>9</v>
      </c>
      <c r="M242" s="82">
        <v>8</v>
      </c>
      <c r="N242" s="89">
        <v>7.0000000000000009</v>
      </c>
      <c r="O242" s="29"/>
      <c r="P242" s="558" t="str">
        <f>IF(Contents!$B$2=2,"Yes","Да")</f>
        <v>Yes</v>
      </c>
      <c r="Q242" s="29"/>
      <c r="R242" s="39"/>
      <c r="S242" s="39"/>
      <c r="T242" s="39"/>
      <c r="U242" s="39"/>
      <c r="W242" s="933">
        <v>1</v>
      </c>
      <c r="Y242" s="595"/>
    </row>
    <row r="243" spans="1:25" ht="22.5" hidden="1" customHeight="1" outlineLevel="1">
      <c r="A243" s="530"/>
      <c r="B243" s="367" t="str">
        <f>IF(Contents!$B$2=2,"Khanty-Mansiysk Autonomous Region","Ханты-Мансийский автономный округ")</f>
        <v>Khanty-Mansiysk Autonomous Region</v>
      </c>
      <c r="C243" s="53" t="s">
        <v>0</v>
      </c>
      <c r="D243" s="81" t="s">
        <v>185</v>
      </c>
      <c r="E243" s="81" t="s">
        <v>185</v>
      </c>
      <c r="F243" s="81">
        <v>0</v>
      </c>
      <c r="G243" s="81">
        <v>19</v>
      </c>
      <c r="H243" s="81">
        <v>11</v>
      </c>
      <c r="I243" s="81">
        <v>6</v>
      </c>
      <c r="J243" s="82">
        <v>8</v>
      </c>
      <c r="K243" s="82">
        <v>5</v>
      </c>
      <c r="L243" s="82">
        <v>2</v>
      </c>
      <c r="M243" s="82">
        <v>0</v>
      </c>
      <c r="N243" s="89">
        <v>0</v>
      </c>
      <c r="O243" s="29"/>
      <c r="P243" s="558" t="str">
        <f>IF(Contents!$B$2=2,"Yes","Да")</f>
        <v>Yes</v>
      </c>
      <c r="Q243" s="29"/>
      <c r="R243" s="39"/>
      <c r="S243" s="39"/>
      <c r="T243" s="39"/>
      <c r="U243" s="39"/>
      <c r="W243" s="933">
        <v>1</v>
      </c>
      <c r="Y243" s="595"/>
    </row>
    <row r="244" spans="1:25" ht="22.5" hidden="1" customHeight="1" outlineLevel="1">
      <c r="A244" s="530"/>
      <c r="B244" s="367" t="str">
        <f>IF(Contents!$B$2=2,"Perm Territory","Пермский край")</f>
        <v>Perm Territory</v>
      </c>
      <c r="C244" s="53" t="s">
        <v>0</v>
      </c>
      <c r="D244" s="81" t="s">
        <v>185</v>
      </c>
      <c r="E244" s="81" t="s">
        <v>185</v>
      </c>
      <c r="F244" s="81">
        <v>0</v>
      </c>
      <c r="G244" s="81">
        <v>0</v>
      </c>
      <c r="H244" s="81">
        <v>0</v>
      </c>
      <c r="I244" s="81">
        <v>0</v>
      </c>
      <c r="J244" s="82">
        <v>5</v>
      </c>
      <c r="K244" s="82">
        <v>0</v>
      </c>
      <c r="L244" s="82">
        <v>0</v>
      </c>
      <c r="M244" s="82">
        <v>0</v>
      </c>
      <c r="N244" s="89">
        <v>0</v>
      </c>
      <c r="O244" s="29"/>
      <c r="P244" s="558" t="str">
        <f>IF(Contents!$B$2=2,"Yes","Да")</f>
        <v>Yes</v>
      </c>
      <c r="Q244" s="29"/>
      <c r="R244" s="39"/>
      <c r="S244" s="39"/>
      <c r="T244" s="39"/>
      <c r="U244" s="39"/>
      <c r="W244" s="933">
        <v>1</v>
      </c>
      <c r="Y244" s="595"/>
    </row>
    <row r="245" spans="1:25" ht="22.5" hidden="1" customHeight="1" outlineLevel="1">
      <c r="A245" s="530"/>
      <c r="B245" s="367" t="str">
        <f>IF(Contents!$B$2=2,"Astrakhan Region","Астраханская область")</f>
        <v>Astrakhan Region</v>
      </c>
      <c r="C245" s="53" t="s">
        <v>0</v>
      </c>
      <c r="D245" s="81" t="s">
        <v>185</v>
      </c>
      <c r="E245" s="81" t="s">
        <v>185</v>
      </c>
      <c r="F245" s="81">
        <v>11</v>
      </c>
      <c r="G245" s="81">
        <v>11</v>
      </c>
      <c r="H245" s="81">
        <v>0</v>
      </c>
      <c r="I245" s="81">
        <v>5</v>
      </c>
      <c r="J245" s="82">
        <v>10</v>
      </c>
      <c r="K245" s="82">
        <v>0</v>
      </c>
      <c r="L245" s="82">
        <v>34</v>
      </c>
      <c r="M245" s="82">
        <v>8</v>
      </c>
      <c r="N245" s="89">
        <v>8</v>
      </c>
      <c r="O245" s="29"/>
      <c r="P245" s="558" t="str">
        <f>IF(Contents!$B$2=2,"Yes","Да")</f>
        <v>Yes</v>
      </c>
      <c r="Q245" s="29"/>
      <c r="R245" s="39"/>
      <c r="S245" s="39"/>
      <c r="T245" s="39"/>
      <c r="U245" s="39"/>
      <c r="W245" s="933">
        <v>1</v>
      </c>
      <c r="Y245" s="595"/>
    </row>
    <row r="246" spans="1:25" ht="22.5" hidden="1" customHeight="1" outlineLevel="1">
      <c r="A246" s="530"/>
      <c r="B246" s="367" t="str">
        <f>IF(Contents!$B$2=2,"Krasnodar Territory","Краснодарский край")</f>
        <v>Krasnodar Territory</v>
      </c>
      <c r="C246" s="53" t="s">
        <v>0</v>
      </c>
      <c r="D246" s="81" t="s">
        <v>185</v>
      </c>
      <c r="E246" s="81" t="s">
        <v>185</v>
      </c>
      <c r="F246" s="81">
        <v>0</v>
      </c>
      <c r="G246" s="81">
        <v>0</v>
      </c>
      <c r="H246" s="81">
        <v>0</v>
      </c>
      <c r="I246" s="81">
        <v>0</v>
      </c>
      <c r="J246" s="82">
        <v>0</v>
      </c>
      <c r="K246" s="82">
        <v>0</v>
      </c>
      <c r="L246" s="82">
        <v>0</v>
      </c>
      <c r="M246" s="82">
        <v>39</v>
      </c>
      <c r="N246" s="89">
        <v>0</v>
      </c>
      <c r="O246" s="29"/>
      <c r="P246" s="558" t="str">
        <f>IF(Contents!$B$2=2,"Yes","Да")</f>
        <v>Yes</v>
      </c>
      <c r="Q246" s="29"/>
      <c r="R246" s="39"/>
      <c r="S246" s="39"/>
      <c r="T246" s="39"/>
      <c r="U246" s="39"/>
      <c r="W246" s="933">
        <v>1</v>
      </c>
      <c r="Y246" s="595"/>
    </row>
    <row r="247" spans="1:25" ht="22.5" hidden="1" customHeight="1" outlineLevel="1">
      <c r="A247" s="530"/>
      <c r="B247" s="367" t="str">
        <f>IF(Contents!$B$2=2,"Samara Region","Самарская область")</f>
        <v>Samara Region</v>
      </c>
      <c r="C247" s="53" t="s">
        <v>0</v>
      </c>
      <c r="D247" s="81" t="s">
        <v>185</v>
      </c>
      <c r="E247" s="81" t="s">
        <v>185</v>
      </c>
      <c r="F247" s="81">
        <v>0</v>
      </c>
      <c r="G247" s="81">
        <v>0</v>
      </c>
      <c r="H247" s="81">
        <v>0</v>
      </c>
      <c r="I247" s="81">
        <v>0</v>
      </c>
      <c r="J247" s="82">
        <v>20</v>
      </c>
      <c r="K247" s="82">
        <v>33</v>
      </c>
      <c r="L247" s="82">
        <v>19</v>
      </c>
      <c r="M247" s="82">
        <v>18</v>
      </c>
      <c r="N247" s="89">
        <v>5</v>
      </c>
      <c r="O247" s="29"/>
      <c r="P247" s="558" t="str">
        <f>IF(Contents!$B$2=2,"Yes","Да")</f>
        <v>Yes</v>
      </c>
      <c r="Q247" s="29"/>
      <c r="R247" s="39"/>
      <c r="S247" s="39"/>
      <c r="T247" s="39"/>
      <c r="U247" s="39"/>
      <c r="W247" s="933">
        <v>1</v>
      </c>
      <c r="Y247" s="595"/>
    </row>
    <row r="248" spans="1:25" ht="22.5" hidden="1" customHeight="1" outlineLevel="1">
      <c r="A248" s="530"/>
      <c r="B248" s="367" t="str">
        <f>IF(Contents!$B$2=2,"Arkhangelsk Region","Архангельская область")</f>
        <v>Arkhangelsk Region</v>
      </c>
      <c r="C248" s="53" t="s">
        <v>0</v>
      </c>
      <c r="D248" s="81" t="s">
        <v>185</v>
      </c>
      <c r="E248" s="81" t="s">
        <v>185</v>
      </c>
      <c r="F248" s="81">
        <v>0</v>
      </c>
      <c r="G248" s="81">
        <v>0</v>
      </c>
      <c r="H248" s="81">
        <v>0</v>
      </c>
      <c r="I248" s="81">
        <v>0</v>
      </c>
      <c r="J248" s="82">
        <v>25</v>
      </c>
      <c r="K248" s="82">
        <v>0</v>
      </c>
      <c r="L248" s="82">
        <v>0</v>
      </c>
      <c r="M248" s="82">
        <v>0</v>
      </c>
      <c r="N248" s="89">
        <v>0</v>
      </c>
      <c r="O248" s="29"/>
      <c r="P248" s="558" t="str">
        <f>IF(Contents!$B$2=2,"Yes","Да")</f>
        <v>Yes</v>
      </c>
      <c r="Q248" s="29"/>
      <c r="R248" s="39"/>
      <c r="S248" s="39"/>
      <c r="T248" s="39"/>
      <c r="U248" s="39"/>
      <c r="W248" s="933">
        <v>1</v>
      </c>
      <c r="Y248" s="595"/>
    </row>
    <row r="249" spans="1:25" ht="22.5" hidden="1" customHeight="1" outlineLevel="1">
      <c r="A249" s="530"/>
      <c r="B249" s="367" t="str">
        <f>IF(Contents!$B$2=2,"Kamchatka Territory","Камчатский край")</f>
        <v>Kamchatka Territory</v>
      </c>
      <c r="C249" s="53" t="s">
        <v>0</v>
      </c>
      <c r="D249" s="81" t="s">
        <v>185</v>
      </c>
      <c r="E249" s="81" t="s">
        <v>185</v>
      </c>
      <c r="F249" s="81">
        <v>0</v>
      </c>
      <c r="G249" s="81">
        <v>0</v>
      </c>
      <c r="H249" s="81">
        <v>0</v>
      </c>
      <c r="I249" s="81">
        <v>0</v>
      </c>
      <c r="J249" s="82">
        <v>44</v>
      </c>
      <c r="K249" s="82">
        <v>20</v>
      </c>
      <c r="L249" s="82">
        <v>16</v>
      </c>
      <c r="M249" s="82">
        <v>25</v>
      </c>
      <c r="N249" s="89">
        <v>11</v>
      </c>
      <c r="O249" s="29"/>
      <c r="P249" s="558" t="str">
        <f>IF(Contents!$B$2=2,"Yes","Да")</f>
        <v>Yes</v>
      </c>
      <c r="Q249" s="29"/>
      <c r="R249" s="39"/>
      <c r="S249" s="39"/>
      <c r="T249" s="39"/>
      <c r="U249" s="39"/>
      <c r="W249" s="933">
        <v>1</v>
      </c>
      <c r="Y249" s="595"/>
    </row>
    <row r="250" spans="1:25" ht="22.5" hidden="1" customHeight="1" outlineLevel="1">
      <c r="A250" s="530"/>
      <c r="B250" s="367" t="str">
        <f>IF(Contents!$B$2=2,"Republic of Bashkortostan","Республика Башкортостан")</f>
        <v>Republic of Bashkortostan</v>
      </c>
      <c r="C250" s="53" t="s">
        <v>0</v>
      </c>
      <c r="D250" s="81" t="s">
        <v>185</v>
      </c>
      <c r="E250" s="81" t="s">
        <v>185</v>
      </c>
      <c r="F250" s="81">
        <v>0</v>
      </c>
      <c r="G250" s="81">
        <v>0</v>
      </c>
      <c r="H250" s="81">
        <v>0</v>
      </c>
      <c r="I250" s="81">
        <v>33</v>
      </c>
      <c r="J250" s="82">
        <v>32</v>
      </c>
      <c r="K250" s="82">
        <v>32</v>
      </c>
      <c r="L250" s="82">
        <v>37</v>
      </c>
      <c r="M250" s="82">
        <v>5</v>
      </c>
      <c r="N250" s="89">
        <v>0</v>
      </c>
      <c r="O250" s="29"/>
      <c r="P250" s="558" t="str">
        <f>IF(Contents!$B$2=2,"Yes","Да")</f>
        <v>Yes</v>
      </c>
      <c r="Q250" s="29"/>
      <c r="R250" s="39"/>
      <c r="S250" s="39"/>
      <c r="T250" s="39"/>
      <c r="U250" s="39"/>
      <c r="W250" s="933">
        <v>1</v>
      </c>
      <c r="Y250" s="595"/>
    </row>
    <row r="251" spans="1:25" ht="22.5" hidden="1" customHeight="1" outlineLevel="1">
      <c r="A251" s="530"/>
      <c r="B251" s="367" t="str">
        <f>IF(Contents!$B$2=2,"Novosibirsk Region","Новосибирская область")</f>
        <v>Novosibirsk Region</v>
      </c>
      <c r="C251" s="53" t="s">
        <v>0</v>
      </c>
      <c r="D251" s="81" t="s">
        <v>185</v>
      </c>
      <c r="E251" s="81" t="s">
        <v>185</v>
      </c>
      <c r="F251" s="81">
        <v>0</v>
      </c>
      <c r="G251" s="81">
        <v>0</v>
      </c>
      <c r="H251" s="81">
        <v>0</v>
      </c>
      <c r="I251" s="81">
        <v>0</v>
      </c>
      <c r="J251" s="82">
        <v>0</v>
      </c>
      <c r="K251" s="82">
        <v>147</v>
      </c>
      <c r="L251" s="82">
        <v>0</v>
      </c>
      <c r="M251" s="82">
        <v>0</v>
      </c>
      <c r="N251" s="89">
        <v>0</v>
      </c>
      <c r="O251" s="29"/>
      <c r="P251" s="558" t="str">
        <f>IF(Contents!$B$2=2,"Yes","Да")</f>
        <v>Yes</v>
      </c>
      <c r="Q251" s="29"/>
      <c r="R251" s="39"/>
      <c r="S251" s="39"/>
      <c r="T251" s="39"/>
      <c r="U251" s="39"/>
      <c r="W251" s="933">
        <v>1</v>
      </c>
      <c r="Y251" s="595"/>
    </row>
    <row r="252" spans="1:25" ht="22.5" hidden="1" customHeight="1" outlineLevel="1">
      <c r="A252" s="530"/>
      <c r="B252" s="367" t="str">
        <f>IF(Contents!$B$2=2,"Sverdlovsk Region","Свердловская область")</f>
        <v>Sverdlovsk Region</v>
      </c>
      <c r="C252" s="53" t="s">
        <v>0</v>
      </c>
      <c r="D252" s="81" t="s">
        <v>185</v>
      </c>
      <c r="E252" s="81" t="s">
        <v>185</v>
      </c>
      <c r="F252" s="81">
        <v>0</v>
      </c>
      <c r="G252" s="81">
        <v>0</v>
      </c>
      <c r="H252" s="81">
        <v>0</v>
      </c>
      <c r="I252" s="81">
        <v>32</v>
      </c>
      <c r="J252" s="82">
        <v>36</v>
      </c>
      <c r="K252" s="82">
        <v>6</v>
      </c>
      <c r="L252" s="82">
        <v>15</v>
      </c>
      <c r="M252" s="82">
        <v>5</v>
      </c>
      <c r="N252" s="89">
        <v>0</v>
      </c>
      <c r="O252" s="29"/>
      <c r="P252" s="558" t="str">
        <f>IF(Contents!$B$2=2,"Yes","Да")</f>
        <v>Yes</v>
      </c>
      <c r="Q252" s="29"/>
      <c r="R252" s="39"/>
      <c r="S252" s="39"/>
      <c r="T252" s="39"/>
      <c r="U252" s="39"/>
      <c r="W252" s="933">
        <v>1</v>
      </c>
      <c r="Y252" s="595"/>
    </row>
    <row r="253" spans="1:25" ht="22.5" hidden="1" customHeight="1" outlineLevel="1">
      <c r="A253" s="530"/>
      <c r="B253" s="367" t="str">
        <f>IF(Contents!$B$2=2,"Tver region","Тверская область")</f>
        <v>Tver region</v>
      </c>
      <c r="C253" s="53" t="s">
        <v>0</v>
      </c>
      <c r="D253" s="81" t="s">
        <v>185</v>
      </c>
      <c r="E253" s="81" t="s">
        <v>185</v>
      </c>
      <c r="F253" s="81">
        <v>0</v>
      </c>
      <c r="G253" s="81">
        <v>0</v>
      </c>
      <c r="H253" s="81">
        <v>0</v>
      </c>
      <c r="I253" s="81">
        <v>80</v>
      </c>
      <c r="J253" s="82">
        <v>114</v>
      </c>
      <c r="K253" s="82">
        <v>33</v>
      </c>
      <c r="L253" s="82">
        <v>11</v>
      </c>
      <c r="M253" s="82">
        <v>9</v>
      </c>
      <c r="N253" s="89">
        <v>10</v>
      </c>
      <c r="O253" s="29"/>
      <c r="P253" s="558" t="str">
        <f>IF(Contents!$B$2=2,"Yes","Да")</f>
        <v>Yes</v>
      </c>
      <c r="Q253" s="29"/>
      <c r="R253" s="39"/>
      <c r="S253" s="39"/>
      <c r="T253" s="39"/>
      <c r="U253" s="39"/>
      <c r="W253" s="933">
        <v>1</v>
      </c>
      <c r="Y253" s="595"/>
    </row>
    <row r="254" spans="1:25" ht="22.5" hidden="1" customHeight="1" outlineLevel="1">
      <c r="A254" s="530"/>
      <c r="B254" s="367" t="str">
        <f>IF(Contents!$B$2=2,"Tula Region","Тульская область")</f>
        <v>Tula Region</v>
      </c>
      <c r="C254" s="53" t="s">
        <v>0</v>
      </c>
      <c r="D254" s="81" t="s">
        <v>185</v>
      </c>
      <c r="E254" s="81" t="s">
        <v>185</v>
      </c>
      <c r="F254" s="81">
        <v>0</v>
      </c>
      <c r="G254" s="81">
        <v>0</v>
      </c>
      <c r="H254" s="81">
        <v>0</v>
      </c>
      <c r="I254" s="81">
        <v>0</v>
      </c>
      <c r="J254" s="82">
        <v>17</v>
      </c>
      <c r="K254" s="82">
        <v>11</v>
      </c>
      <c r="L254" s="82">
        <v>10</v>
      </c>
      <c r="M254" s="82">
        <v>12</v>
      </c>
      <c r="N254" s="89">
        <v>0</v>
      </c>
      <c r="O254" s="29"/>
      <c r="P254" s="558" t="str">
        <f>IF(Contents!$B$2=2,"Yes","Да")</f>
        <v>Yes</v>
      </c>
      <c r="Q254" s="29"/>
      <c r="R254" s="39"/>
      <c r="S254" s="39"/>
      <c r="T254" s="39"/>
      <c r="U254" s="39"/>
      <c r="W254" s="933">
        <v>1</v>
      </c>
      <c r="Y254" s="595"/>
    </row>
    <row r="255" spans="1:25" ht="22.5" hidden="1" customHeight="1" outlineLevel="1">
      <c r="A255" s="530"/>
      <c r="B255" s="367" t="str">
        <f>IF(Contents!$B$2=2,"Republic of Tatarstan","Республика Татарстан")</f>
        <v>Republic of Tatarstan</v>
      </c>
      <c r="C255" s="53" t="s">
        <v>0</v>
      </c>
      <c r="D255" s="81" t="s">
        <v>185</v>
      </c>
      <c r="E255" s="81" t="s">
        <v>185</v>
      </c>
      <c r="F255" s="81">
        <v>0</v>
      </c>
      <c r="G255" s="81">
        <v>0</v>
      </c>
      <c r="H255" s="81">
        <v>0</v>
      </c>
      <c r="I255" s="81">
        <v>0</v>
      </c>
      <c r="J255" s="82">
        <v>100</v>
      </c>
      <c r="K255" s="82">
        <v>36</v>
      </c>
      <c r="L255" s="82">
        <v>11</v>
      </c>
      <c r="M255" s="82">
        <v>0</v>
      </c>
      <c r="N255" s="89">
        <v>0</v>
      </c>
      <c r="O255" s="29"/>
      <c r="P255" s="558" t="str">
        <f>IF(Contents!$B$2=2,"Yes","Да")</f>
        <v>Yes</v>
      </c>
      <c r="Q255" s="29"/>
      <c r="R255" s="39"/>
      <c r="S255" s="39"/>
      <c r="T255" s="39"/>
      <c r="U255" s="39"/>
      <c r="W255" s="933">
        <v>1</v>
      </c>
      <c r="Y255" s="595"/>
    </row>
    <row r="256" spans="1:25" ht="22.5" hidden="1" customHeight="1" outlineLevel="1">
      <c r="A256" s="530"/>
      <c r="B256" s="367" t="str">
        <f>IF(Contents!$B$2=2,"Vladimir Region","Владимирская область")</f>
        <v>Vladimir Region</v>
      </c>
      <c r="C256" s="53" t="s">
        <v>0</v>
      </c>
      <c r="D256" s="81" t="s">
        <v>185</v>
      </c>
      <c r="E256" s="81" t="s">
        <v>185</v>
      </c>
      <c r="F256" s="81">
        <v>0</v>
      </c>
      <c r="G256" s="81">
        <v>0</v>
      </c>
      <c r="H256" s="81">
        <v>0</v>
      </c>
      <c r="I256" s="81">
        <v>0</v>
      </c>
      <c r="J256" s="81">
        <v>0</v>
      </c>
      <c r="K256" s="81">
        <v>0</v>
      </c>
      <c r="L256" s="82">
        <v>0</v>
      </c>
      <c r="M256" s="82">
        <v>0</v>
      </c>
      <c r="N256" s="89">
        <v>9</v>
      </c>
      <c r="O256" s="29"/>
      <c r="P256" s="558" t="str">
        <f>IF(Contents!$B$2=2,"Yes","Да")</f>
        <v>Yes</v>
      </c>
      <c r="Q256" s="29"/>
      <c r="R256" s="39"/>
      <c r="S256" s="39"/>
      <c r="T256" s="39"/>
      <c r="U256" s="39"/>
      <c r="W256" s="933">
        <v>1</v>
      </c>
      <c r="Y256" s="595"/>
    </row>
    <row r="257" spans="1:25" ht="22.5" hidden="1" customHeight="1" outlineLevel="1">
      <c r="A257" s="530"/>
      <c r="B257" s="367" t="str">
        <f>IF(Contents!$B$2=2,"Penza Region","Пензенская область")</f>
        <v>Penza Region</v>
      </c>
      <c r="C257" s="53" t="s">
        <v>0</v>
      </c>
      <c r="D257" s="81" t="s">
        <v>185</v>
      </c>
      <c r="E257" s="81" t="s">
        <v>185</v>
      </c>
      <c r="F257" s="81">
        <v>0</v>
      </c>
      <c r="G257" s="81">
        <v>0</v>
      </c>
      <c r="H257" s="81">
        <v>0</v>
      </c>
      <c r="I257" s="81">
        <v>0</v>
      </c>
      <c r="J257" s="81">
        <v>0</v>
      </c>
      <c r="K257" s="81">
        <v>0</v>
      </c>
      <c r="L257" s="81">
        <v>39</v>
      </c>
      <c r="M257" s="81">
        <v>17</v>
      </c>
      <c r="N257" s="89">
        <v>18</v>
      </c>
      <c r="O257" s="29"/>
      <c r="P257" s="558" t="str">
        <f>IF(Contents!$B$2=2,"Yes","Да")</f>
        <v>Yes</v>
      </c>
      <c r="Q257" s="29"/>
      <c r="R257" s="39"/>
      <c r="S257" s="39"/>
      <c r="T257" s="39"/>
      <c r="U257" s="39"/>
      <c r="W257" s="933">
        <v>1</v>
      </c>
      <c r="Y257" s="595"/>
    </row>
    <row r="258" spans="1:25" ht="22.5" hidden="1" customHeight="1" outlineLevel="1">
      <c r="A258" s="531"/>
      <c r="B258" s="368" t="str">
        <f>IF(Contents!$B$2=2,"Nizhny Novgorod region","Нижегородская область")</f>
        <v>Nizhny Novgorod region</v>
      </c>
      <c r="C258" s="53" t="s">
        <v>0</v>
      </c>
      <c r="D258" s="81" t="s">
        <v>185</v>
      </c>
      <c r="E258" s="81" t="s">
        <v>185</v>
      </c>
      <c r="F258" s="81">
        <v>0</v>
      </c>
      <c r="G258" s="81">
        <v>0</v>
      </c>
      <c r="H258" s="81">
        <v>0</v>
      </c>
      <c r="I258" s="81">
        <v>0</v>
      </c>
      <c r="J258" s="81">
        <v>0</v>
      </c>
      <c r="K258" s="81">
        <v>0</v>
      </c>
      <c r="L258" s="81">
        <v>0</v>
      </c>
      <c r="M258" s="81">
        <v>0</v>
      </c>
      <c r="N258" s="89">
        <v>0</v>
      </c>
      <c r="O258" s="29"/>
      <c r="P258" s="558" t="str">
        <f>IF(Contents!$B$2=2,"Yes","Да")</f>
        <v>Yes</v>
      </c>
      <c r="Q258" s="29"/>
      <c r="R258" s="39"/>
      <c r="S258" s="39"/>
      <c r="T258" s="39"/>
      <c r="U258" s="39"/>
      <c r="W258" s="933">
        <v>1</v>
      </c>
      <c r="Y258" s="595"/>
    </row>
    <row r="259" spans="1:25" ht="22.5" hidden="1" customHeight="1" outlineLevel="1">
      <c r="A259" s="531"/>
      <c r="B259" s="368" t="str">
        <f>IF(Contents!$B$2=2,"Primorsky Krai","Приморский край")</f>
        <v>Primorsky Krai</v>
      </c>
      <c r="C259" s="53" t="s">
        <v>0</v>
      </c>
      <c r="D259" s="81" t="s">
        <v>185</v>
      </c>
      <c r="E259" s="81" t="s">
        <v>185</v>
      </c>
      <c r="F259" s="81">
        <v>0</v>
      </c>
      <c r="G259" s="81">
        <v>0</v>
      </c>
      <c r="H259" s="81">
        <v>0</v>
      </c>
      <c r="I259" s="81">
        <v>0</v>
      </c>
      <c r="J259" s="81">
        <v>0</v>
      </c>
      <c r="K259" s="81">
        <v>0</v>
      </c>
      <c r="L259" s="81">
        <v>0</v>
      </c>
      <c r="M259" s="81">
        <v>4</v>
      </c>
      <c r="N259" s="89">
        <v>3</v>
      </c>
      <c r="O259" s="29"/>
      <c r="P259" s="558" t="str">
        <f>IF(Contents!$B$2=2,"Yes","Да")</f>
        <v>Yes</v>
      </c>
      <c r="Q259" s="29"/>
      <c r="R259" s="39"/>
      <c r="S259" s="39"/>
      <c r="T259" s="39"/>
      <c r="U259" s="39"/>
      <c r="W259" s="933">
        <v>1</v>
      </c>
      <c r="Y259" s="595"/>
    </row>
    <row r="260" spans="1:25" ht="22.5" hidden="1" customHeight="1" outlineLevel="1">
      <c r="A260" s="531"/>
      <c r="B260" s="368" t="str">
        <f>IF(Contents!$B$2=2,"Republic of Mari El","Республика Марий Эл")</f>
        <v>Republic of Mari El</v>
      </c>
      <c r="C260" s="53" t="s">
        <v>0</v>
      </c>
      <c r="D260" s="46" t="s">
        <v>185</v>
      </c>
      <c r="E260" s="46" t="s">
        <v>185</v>
      </c>
      <c r="F260" s="46">
        <v>0</v>
      </c>
      <c r="G260" s="46">
        <v>0</v>
      </c>
      <c r="H260" s="46">
        <v>0</v>
      </c>
      <c r="I260" s="46">
        <v>0</v>
      </c>
      <c r="J260" s="46">
        <v>0</v>
      </c>
      <c r="K260" s="91">
        <v>0</v>
      </c>
      <c r="L260" s="91">
        <v>0</v>
      </c>
      <c r="M260" s="91">
        <v>0</v>
      </c>
      <c r="N260" s="89">
        <v>0</v>
      </c>
      <c r="O260" s="29"/>
      <c r="P260" s="558" t="str">
        <f>IF(Contents!$B$2=2,"Yes","Да")</f>
        <v>Yes</v>
      </c>
      <c r="Q260" s="29"/>
      <c r="R260" s="39"/>
      <c r="S260" s="39"/>
      <c r="T260" s="39"/>
      <c r="U260" s="39"/>
      <c r="W260" s="933">
        <v>1</v>
      </c>
      <c r="Y260" s="595"/>
    </row>
    <row r="261" spans="1:25" ht="22.35" hidden="1" customHeight="1" outlineLevel="1">
      <c r="B261" s="368" t="str">
        <f>IF(Contents!$B$2=2,"Chuvash Republic","Чувашская республика")</f>
        <v>Chuvash Republic</v>
      </c>
      <c r="C261" s="53" t="s">
        <v>0</v>
      </c>
      <c r="D261" s="46" t="s">
        <v>185</v>
      </c>
      <c r="E261" s="46" t="s">
        <v>185</v>
      </c>
      <c r="F261" s="90" t="s">
        <v>185</v>
      </c>
      <c r="G261" s="90" t="s">
        <v>185</v>
      </c>
      <c r="H261" s="90" t="s">
        <v>185</v>
      </c>
      <c r="I261" s="46" t="s">
        <v>185</v>
      </c>
      <c r="J261" s="46" t="s">
        <v>185</v>
      </c>
      <c r="K261" s="46" t="s">
        <v>185</v>
      </c>
      <c r="L261" s="46" t="s">
        <v>185</v>
      </c>
      <c r="M261" s="46" t="s">
        <v>185</v>
      </c>
      <c r="N261" s="89">
        <v>0</v>
      </c>
      <c r="O261" s="29"/>
      <c r="P261" s="558" t="str">
        <f>IF(Contents!$B$2=2,"Yes","Да")</f>
        <v>Yes</v>
      </c>
      <c r="Q261" s="29"/>
      <c r="R261" s="39"/>
      <c r="S261" s="39"/>
      <c r="T261" s="39"/>
      <c r="U261" s="39"/>
      <c r="W261" s="933">
        <v>1</v>
      </c>
      <c r="Y261" s="595"/>
    </row>
    <row r="262" spans="1:25" ht="22.5" customHeight="1" collapsed="1">
      <c r="A262" s="78"/>
      <c r="B262" s="78" t="str">
        <f>IF(Contents!$B$2=2,"Other countries","Прочие страны")</f>
        <v>Other countries</v>
      </c>
      <c r="C262" s="53" t="s">
        <v>0</v>
      </c>
      <c r="D262" s="46" t="s">
        <v>185</v>
      </c>
      <c r="E262" s="46" t="s">
        <v>185</v>
      </c>
      <c r="F262" s="46" t="s">
        <v>185</v>
      </c>
      <c r="G262" s="46" t="s">
        <v>185</v>
      </c>
      <c r="H262" s="46" t="s">
        <v>185</v>
      </c>
      <c r="I262" s="46" t="s">
        <v>185</v>
      </c>
      <c r="J262" s="46">
        <v>5</v>
      </c>
      <c r="K262" s="91">
        <v>22</v>
      </c>
      <c r="L262" s="91">
        <v>24</v>
      </c>
      <c r="M262" s="91">
        <v>11</v>
      </c>
      <c r="N262" s="89">
        <v>8</v>
      </c>
      <c r="O262" s="879"/>
      <c r="P262" s="558" t="str">
        <f>IF(Contents!$B$2=2,"Yes","Да")</f>
        <v>Yes</v>
      </c>
      <c r="Q262" s="29"/>
      <c r="R262" s="39"/>
      <c r="S262" s="39"/>
      <c r="T262" s="39"/>
      <c r="U262" s="39"/>
      <c r="W262" s="933">
        <v>1</v>
      </c>
      <c r="Y262" s="595"/>
    </row>
    <row r="263" spans="1:25" ht="22.5" customHeight="1">
      <c r="B263" s="78"/>
      <c r="C263" s="53"/>
      <c r="D263" s="46"/>
      <c r="E263" s="46"/>
      <c r="F263" s="46"/>
      <c r="G263" s="46"/>
      <c r="H263" s="46"/>
      <c r="I263" s="46"/>
      <c r="J263" s="38"/>
      <c r="K263" s="38"/>
      <c r="L263" s="38"/>
      <c r="M263" s="38"/>
      <c r="N263" s="38"/>
      <c r="O263" s="29"/>
      <c r="P263" s="558"/>
      <c r="Q263" s="29"/>
      <c r="R263" s="39"/>
      <c r="S263" s="39"/>
      <c r="T263" s="39"/>
      <c r="U263" s="39"/>
    </row>
    <row r="264" spans="1:25">
      <c r="B264" s="25" t="str">
        <f>IF(Contents!$B$2=2,"Notes:","Примечания: ")</f>
        <v>Notes:</v>
      </c>
      <c r="C264" s="61"/>
      <c r="D264" s="108"/>
      <c r="E264" s="108"/>
      <c r="F264" s="108"/>
      <c r="G264" s="108"/>
      <c r="H264" s="108"/>
      <c r="I264" s="108"/>
      <c r="J264" s="108"/>
      <c r="K264" s="108"/>
      <c r="L264" s="108"/>
      <c r="M264" s="108"/>
      <c r="N264" s="109"/>
      <c r="O264" s="38"/>
      <c r="P264" s="558"/>
      <c r="Q264" s="38"/>
      <c r="R264" s="39"/>
      <c r="S264" s="39"/>
      <c r="T264" s="39"/>
      <c r="U264" s="39"/>
    </row>
    <row r="265" spans="1:25">
      <c r="B265" s="26" t="str">
        <f>IF(Contents!$B$2=2,"Turnover rate = Number of employees dismissed at their own request/Average headcount for the reporting year х 100%","Коэффициент текучести = Количество уволенных по собственному желанию / Среднесписочная численность работников за отчетный год х 100%")</f>
        <v>Turnover rate = Number of employees dismissed at their own request/Average headcount for the reporting year х 100%</v>
      </c>
      <c r="C265" s="294"/>
      <c r="D265" s="381"/>
      <c r="E265" s="381"/>
      <c r="F265" s="381"/>
      <c r="G265" s="381"/>
      <c r="H265" s="381"/>
      <c r="I265" s="381"/>
      <c r="J265" s="381"/>
      <c r="K265" s="381"/>
      <c r="L265" s="381"/>
      <c r="M265" s="381"/>
      <c r="N265" s="381"/>
      <c r="O265" s="29"/>
      <c r="P265" s="558"/>
      <c r="Q265" s="29"/>
      <c r="R265" s="39"/>
      <c r="S265" s="39"/>
      <c r="T265" s="39"/>
      <c r="U265" s="39"/>
    </row>
    <row r="266" spans="1:25">
      <c r="B266" s="301"/>
      <c r="C266" s="301"/>
      <c r="D266" s="370"/>
      <c r="E266" s="370"/>
      <c r="F266" s="370"/>
      <c r="G266" s="370"/>
      <c r="H266" s="370"/>
      <c r="I266" s="370"/>
      <c r="J266" s="370"/>
      <c r="K266" s="370"/>
      <c r="L266" s="370"/>
      <c r="M266" s="370"/>
      <c r="N266" s="370"/>
      <c r="O266" s="29"/>
      <c r="P266" s="558"/>
      <c r="Q266" s="29"/>
      <c r="R266" s="39"/>
      <c r="S266" s="39"/>
      <c r="T266" s="39"/>
      <c r="U266" s="39"/>
    </row>
    <row r="267" spans="1:25" ht="22.5" customHeight="1">
      <c r="B267" s="371" t="str">
        <f>IF(Contents!$B$2=2,"New hires","Персонал принятый")</f>
        <v>New hires</v>
      </c>
      <c r="C267" s="49" t="str">
        <f>IF(Contents!$B$2=2,"people"," человек")</f>
        <v>people</v>
      </c>
      <c r="D267" s="372">
        <v>2326</v>
      </c>
      <c r="E267" s="372">
        <v>2196</v>
      </c>
      <c r="F267" s="372">
        <v>1542</v>
      </c>
      <c r="G267" s="372">
        <v>1840</v>
      </c>
      <c r="H267" s="372">
        <v>2818</v>
      </c>
      <c r="I267" s="372">
        <v>2388</v>
      </c>
      <c r="J267" s="372">
        <v>2998</v>
      </c>
      <c r="K267" s="372">
        <v>2617</v>
      </c>
      <c r="L267" s="372">
        <v>2524</v>
      </c>
      <c r="M267" s="372">
        <v>2421</v>
      </c>
      <c r="N267" s="372">
        <v>2961</v>
      </c>
      <c r="O267" s="879"/>
      <c r="P267" s="558" t="str">
        <f>IF(Contents!$B$2=2,"Yes","Да")</f>
        <v>Yes</v>
      </c>
      <c r="Q267" s="824"/>
      <c r="R267" s="39" t="s">
        <v>128</v>
      </c>
      <c r="S267" s="39"/>
      <c r="T267" s="39" t="s">
        <v>129</v>
      </c>
      <c r="U267" s="39"/>
      <c r="W267" s="933">
        <v>1</v>
      </c>
    </row>
    <row r="268" spans="1:25" ht="22.5" customHeight="1">
      <c r="B268" s="364" t="str">
        <f>IF(Contents!$B$2=2,"by gender","по полу")</f>
        <v>by gender</v>
      </c>
      <c r="C268" s="77"/>
      <c r="D268" s="111"/>
      <c r="E268" s="111"/>
      <c r="F268" s="111"/>
      <c r="G268" s="111"/>
      <c r="H268" s="111"/>
      <c r="I268" s="85"/>
      <c r="J268" s="111"/>
      <c r="K268" s="111"/>
      <c r="L268" s="111"/>
      <c r="M268" s="111"/>
      <c r="N268" s="111"/>
      <c r="O268" s="37"/>
      <c r="P268" s="558"/>
      <c r="Q268" s="824"/>
      <c r="R268" s="39" t="s">
        <v>128</v>
      </c>
      <c r="S268" s="39"/>
      <c r="T268" s="39" t="s">
        <v>129</v>
      </c>
      <c r="U268" s="39"/>
    </row>
    <row r="269" spans="1:25" ht="22.5" customHeight="1">
      <c r="B269" s="93" t="str">
        <f>IF(Contents!$B$2=2,"Male","Мужчины")</f>
        <v>Male</v>
      </c>
      <c r="C269" s="53" t="str">
        <f>IF(Contents!$B$2=2,"people"," человек")</f>
        <v>people</v>
      </c>
      <c r="D269" s="46" t="s">
        <v>185</v>
      </c>
      <c r="E269" s="46" t="s">
        <v>185</v>
      </c>
      <c r="F269" s="46">
        <v>1156</v>
      </c>
      <c r="G269" s="46">
        <v>1365</v>
      </c>
      <c r="H269" s="46">
        <v>2155</v>
      </c>
      <c r="I269" s="46">
        <v>1800</v>
      </c>
      <c r="J269" s="38">
        <v>2410</v>
      </c>
      <c r="K269" s="38">
        <v>2042</v>
      </c>
      <c r="L269" s="38">
        <v>1979</v>
      </c>
      <c r="M269" s="38">
        <v>1970</v>
      </c>
      <c r="N269" s="89">
        <v>2589</v>
      </c>
      <c r="O269" s="879"/>
      <c r="P269" s="558" t="str">
        <f>IF(Contents!$B$2=2,"Yes","Да")</f>
        <v>Yes</v>
      </c>
      <c r="Q269" s="824"/>
      <c r="R269" s="39"/>
      <c r="S269" s="39"/>
      <c r="T269" s="39"/>
      <c r="U269" s="39"/>
      <c r="W269" s="933">
        <v>1</v>
      </c>
    </row>
    <row r="270" spans="1:25" ht="22.5" customHeight="1">
      <c r="B270" s="93" t="str">
        <f>IF(Contents!$B$2=2,"Female","Женщины")</f>
        <v>Female</v>
      </c>
      <c r="C270" s="53" t="str">
        <f>IF(Contents!$B$2=2,"people"," человек")</f>
        <v>people</v>
      </c>
      <c r="D270" s="46" t="s">
        <v>185</v>
      </c>
      <c r="E270" s="46" t="s">
        <v>185</v>
      </c>
      <c r="F270" s="46">
        <v>386</v>
      </c>
      <c r="G270" s="46">
        <v>475</v>
      </c>
      <c r="H270" s="46">
        <v>663</v>
      </c>
      <c r="I270" s="46">
        <v>588</v>
      </c>
      <c r="J270" s="38">
        <v>588</v>
      </c>
      <c r="K270" s="38">
        <v>575</v>
      </c>
      <c r="L270" s="38">
        <v>545</v>
      </c>
      <c r="M270" s="38">
        <v>451</v>
      </c>
      <c r="N270" s="89">
        <v>372</v>
      </c>
      <c r="O270" s="879"/>
      <c r="P270" s="558" t="str">
        <f>IF(Contents!$B$2=2,"Yes","Да")</f>
        <v>Yes</v>
      </c>
      <c r="Q270" s="824"/>
      <c r="R270" s="39"/>
      <c r="S270" s="39"/>
      <c r="T270" s="39"/>
      <c r="U270" s="39"/>
      <c r="W270" s="933">
        <v>1</v>
      </c>
    </row>
    <row r="271" spans="1:25" ht="22.5" customHeight="1">
      <c r="B271" s="23" t="str">
        <f>IF(Contents!$B$2=2,"by age","по возрасту")</f>
        <v>by age</v>
      </c>
      <c r="C271" s="77"/>
      <c r="D271" s="111"/>
      <c r="E271" s="111"/>
      <c r="F271" s="111"/>
      <c r="G271" s="111"/>
      <c r="H271" s="111"/>
      <c r="I271" s="366"/>
      <c r="J271" s="111"/>
      <c r="K271" s="111"/>
      <c r="L271" s="111"/>
      <c r="M271" s="111"/>
      <c r="N271" s="111"/>
      <c r="O271" s="37"/>
      <c r="P271" s="558"/>
      <c r="Q271" s="824"/>
      <c r="R271" s="39" t="s">
        <v>128</v>
      </c>
      <c r="S271" s="39"/>
      <c r="T271" s="39" t="s">
        <v>129</v>
      </c>
      <c r="U271" s="39"/>
    </row>
    <row r="272" spans="1:25" ht="22.5" customHeight="1">
      <c r="B272" s="78" t="str">
        <f>IF(Contents!$B$2=2,"Under 30","До 30 лет")</f>
        <v>Under 30</v>
      </c>
      <c r="C272" s="53" t="str">
        <f>IF(Contents!$B$2=2,"people"," человек")</f>
        <v>people</v>
      </c>
      <c r="D272" s="46" t="s">
        <v>185</v>
      </c>
      <c r="E272" s="46" t="s">
        <v>185</v>
      </c>
      <c r="F272" s="46">
        <v>449</v>
      </c>
      <c r="G272" s="46">
        <v>461</v>
      </c>
      <c r="H272" s="46">
        <v>605</v>
      </c>
      <c r="I272" s="38">
        <v>482</v>
      </c>
      <c r="J272" s="38">
        <v>583</v>
      </c>
      <c r="K272" s="38">
        <v>518</v>
      </c>
      <c r="L272" s="38">
        <v>453</v>
      </c>
      <c r="M272" s="38">
        <v>487</v>
      </c>
      <c r="N272" s="89">
        <v>335</v>
      </c>
      <c r="O272" s="879"/>
      <c r="P272" s="558" t="str">
        <f>IF(Contents!$B$2=2,"Yes","Да")</f>
        <v>Yes</v>
      </c>
      <c r="Q272" s="824"/>
      <c r="R272" s="39"/>
      <c r="S272" s="39"/>
      <c r="T272" s="39"/>
      <c r="U272" s="39"/>
      <c r="W272" s="933">
        <v>1</v>
      </c>
    </row>
    <row r="273" spans="2:25" ht="22.5" customHeight="1">
      <c r="B273" s="78" t="str">
        <f>IF(Contents!$B$2=2,"30 to 50","30-50 лет")</f>
        <v>30 to 50</v>
      </c>
      <c r="C273" s="53" t="str">
        <f>IF(Contents!$B$2=2,"people"," человек")</f>
        <v>people</v>
      </c>
      <c r="D273" s="46" t="s">
        <v>185</v>
      </c>
      <c r="E273" s="46" t="s">
        <v>185</v>
      </c>
      <c r="F273" s="46">
        <v>989</v>
      </c>
      <c r="G273" s="46">
        <v>1249</v>
      </c>
      <c r="H273" s="46">
        <v>1944</v>
      </c>
      <c r="I273" s="38">
        <v>1718</v>
      </c>
      <c r="J273" s="38">
        <v>2193</v>
      </c>
      <c r="K273" s="38">
        <v>1884</v>
      </c>
      <c r="L273" s="38">
        <v>1858</v>
      </c>
      <c r="M273" s="38">
        <v>1690</v>
      </c>
      <c r="N273" s="89">
        <v>2141</v>
      </c>
      <c r="O273" s="879"/>
      <c r="P273" s="558" t="str">
        <f>IF(Contents!$B$2=2,"Yes","Да")</f>
        <v>Yes</v>
      </c>
      <c r="Q273" s="824"/>
      <c r="R273" s="39"/>
      <c r="S273" s="39"/>
      <c r="T273" s="39"/>
      <c r="U273" s="39"/>
      <c r="W273" s="933">
        <v>1</v>
      </c>
    </row>
    <row r="274" spans="2:25" ht="22.5" customHeight="1">
      <c r="B274" s="78" t="str">
        <f>IF(Contents!$B$2=2,"Over 50","Старше 50 лет")</f>
        <v>Over 50</v>
      </c>
      <c r="C274" s="53" t="str">
        <f>IF(Contents!$B$2=2,"people"," человек")</f>
        <v>people</v>
      </c>
      <c r="D274" s="46" t="s">
        <v>185</v>
      </c>
      <c r="E274" s="46" t="s">
        <v>185</v>
      </c>
      <c r="F274" s="46">
        <v>104</v>
      </c>
      <c r="G274" s="46">
        <v>130</v>
      </c>
      <c r="H274" s="46">
        <v>269</v>
      </c>
      <c r="I274" s="38">
        <v>188</v>
      </c>
      <c r="J274" s="38">
        <v>222</v>
      </c>
      <c r="K274" s="38">
        <v>215</v>
      </c>
      <c r="L274" s="38">
        <v>213</v>
      </c>
      <c r="M274" s="38">
        <v>244</v>
      </c>
      <c r="N274" s="89">
        <v>485</v>
      </c>
      <c r="O274" s="879"/>
      <c r="P274" s="558" t="str">
        <f>IF(Contents!$B$2=2,"Yes","Да")</f>
        <v>Yes</v>
      </c>
      <c r="Q274" s="824"/>
      <c r="R274" s="39"/>
      <c r="S274" s="39"/>
      <c r="T274" s="39"/>
      <c r="U274" s="39"/>
      <c r="W274" s="933">
        <v>1</v>
      </c>
    </row>
    <row r="275" spans="2:25" ht="22.5" customHeight="1">
      <c r="B275" s="23" t="str">
        <f>IF(Contents!$B$2=2,"by region","по региону")</f>
        <v>by region</v>
      </c>
      <c r="C275" s="77"/>
      <c r="D275" s="111"/>
      <c r="E275" s="111"/>
      <c r="F275" s="111"/>
      <c r="G275" s="111"/>
      <c r="H275" s="111"/>
      <c r="I275" s="366"/>
      <c r="J275" s="111"/>
      <c r="K275" s="111"/>
      <c r="L275" s="111"/>
      <c r="M275" s="111"/>
      <c r="N275" s="111"/>
      <c r="O275" s="37"/>
      <c r="P275" s="558"/>
      <c r="Q275" s="824"/>
      <c r="R275" s="39" t="s">
        <v>128</v>
      </c>
      <c r="S275" s="39"/>
      <c r="T275" s="39" t="s">
        <v>129</v>
      </c>
      <c r="U275" s="39"/>
    </row>
    <row r="276" spans="2:25" ht="22.5" customHeight="1">
      <c r="B276" s="177" t="str">
        <f>IF(Contents!$B$2=2,"Russian Federation","Российская Федерация")</f>
        <v>Russian Federation</v>
      </c>
      <c r="C276" s="53" t="str">
        <f>IF(Contents!$B$2=2,"people"," человек")</f>
        <v>people</v>
      </c>
      <c r="D276" s="46" t="s">
        <v>185</v>
      </c>
      <c r="E276" s="46" t="s">
        <v>185</v>
      </c>
      <c r="F276" s="46">
        <v>1509</v>
      </c>
      <c r="G276" s="46">
        <v>1805</v>
      </c>
      <c r="H276" s="46">
        <v>2758</v>
      </c>
      <c r="I276" s="46">
        <v>2349</v>
      </c>
      <c r="J276" s="46">
        <v>2952</v>
      </c>
      <c r="K276" s="46">
        <v>2591</v>
      </c>
      <c r="L276" s="46">
        <v>2488</v>
      </c>
      <c r="M276" s="46">
        <v>2386</v>
      </c>
      <c r="N276" s="89">
        <v>2949</v>
      </c>
      <c r="O276" s="879"/>
      <c r="P276" s="558" t="str">
        <f>IF(Contents!$B$2=2,"Yes","Да")</f>
        <v>Yes</v>
      </c>
      <c r="Q276" s="824"/>
      <c r="R276" s="39"/>
      <c r="S276" s="39"/>
      <c r="T276" s="39"/>
      <c r="U276" s="39"/>
      <c r="W276" s="933">
        <v>1</v>
      </c>
      <c r="Y276" s="595"/>
    </row>
    <row r="277" spans="2:25" ht="22.5" customHeight="1">
      <c r="B277" s="207" t="str">
        <f>IF(Contents!$B$2=2,"Yamal-Nenets Autonomous Region","Ямало-Ненецкий автономный округ")</f>
        <v>Yamal-Nenets Autonomous Region</v>
      </c>
      <c r="C277" s="53" t="str">
        <f>IF(Contents!$B$2=2,"people"," человек")</f>
        <v>people</v>
      </c>
      <c r="D277" s="46" t="s">
        <v>185</v>
      </c>
      <c r="E277" s="46" t="s">
        <v>185</v>
      </c>
      <c r="F277" s="46">
        <v>852</v>
      </c>
      <c r="G277" s="46">
        <v>926</v>
      </c>
      <c r="H277" s="46">
        <v>1381</v>
      </c>
      <c r="I277" s="38">
        <v>1000</v>
      </c>
      <c r="J277" s="38">
        <v>1462</v>
      </c>
      <c r="K277" s="38">
        <v>1205</v>
      </c>
      <c r="L277" s="38">
        <v>1175</v>
      </c>
      <c r="M277" s="38">
        <v>1276</v>
      </c>
      <c r="N277" s="89">
        <v>2032</v>
      </c>
      <c r="O277" s="879"/>
      <c r="P277" s="558" t="str">
        <f>IF(Contents!$B$2=2,"Yes","Да")</f>
        <v>Yes</v>
      </c>
      <c r="Q277" s="824"/>
      <c r="R277" s="39"/>
      <c r="S277" s="39"/>
      <c r="T277" s="39"/>
      <c r="U277" s="39"/>
      <c r="W277" s="933">
        <v>1</v>
      </c>
      <c r="Y277" s="595"/>
    </row>
    <row r="278" spans="2:25" ht="22.5" customHeight="1">
      <c r="B278" s="207" t="str">
        <f>IF(Contents!$B$2=2,"Moscow and Moscow Region","Москва и Московская область")</f>
        <v>Moscow and Moscow Region</v>
      </c>
      <c r="C278" s="53" t="str">
        <f>IF(Contents!$B$2=2,"people"," человек")</f>
        <v>people</v>
      </c>
      <c r="D278" s="46" t="s">
        <v>185</v>
      </c>
      <c r="E278" s="46" t="s">
        <v>185</v>
      </c>
      <c r="F278" s="46">
        <v>249</v>
      </c>
      <c r="G278" s="46">
        <v>268</v>
      </c>
      <c r="H278" s="46">
        <v>418</v>
      </c>
      <c r="I278" s="38">
        <v>450</v>
      </c>
      <c r="J278" s="38">
        <v>450</v>
      </c>
      <c r="K278" s="38">
        <v>388</v>
      </c>
      <c r="L278" s="38">
        <v>453</v>
      </c>
      <c r="M278" s="38">
        <v>292</v>
      </c>
      <c r="N278" s="89">
        <v>199</v>
      </c>
      <c r="O278" s="879"/>
      <c r="P278" s="558" t="str">
        <f>IF(Contents!$B$2=2,"Yes","Да")</f>
        <v>Yes</v>
      </c>
      <c r="Q278" s="824"/>
      <c r="R278" s="39"/>
      <c r="S278" s="39"/>
      <c r="T278" s="39"/>
      <c r="U278" s="39"/>
      <c r="W278" s="933">
        <v>1</v>
      </c>
      <c r="Y278" s="595"/>
    </row>
    <row r="279" spans="2:25" ht="22.5" customHeight="1">
      <c r="B279" s="207" t="str">
        <f>IF(Contents!$B$2=2,"Chelyabinsk Region","Челябинская область")</f>
        <v>Chelyabinsk Region</v>
      </c>
      <c r="C279" s="53" t="str">
        <f>IF(Contents!$B$2=2,"people"," человек")</f>
        <v>people</v>
      </c>
      <c r="D279" s="46" t="s">
        <v>185</v>
      </c>
      <c r="E279" s="46" t="s">
        <v>185</v>
      </c>
      <c r="F279" s="46">
        <v>135</v>
      </c>
      <c r="G279" s="46">
        <v>173</v>
      </c>
      <c r="H279" s="46">
        <v>386</v>
      </c>
      <c r="I279" s="38">
        <v>262</v>
      </c>
      <c r="J279" s="38">
        <v>241</v>
      </c>
      <c r="K279" s="38">
        <v>190</v>
      </c>
      <c r="L279" s="38">
        <v>165</v>
      </c>
      <c r="M279" s="38">
        <v>197</v>
      </c>
      <c r="N279" s="89">
        <v>154</v>
      </c>
      <c r="O279" s="879"/>
      <c r="P279" s="558" t="str">
        <f>IF(Contents!$B$2=2,"Yes","Да")</f>
        <v>Yes</v>
      </c>
      <c r="Q279" s="824"/>
      <c r="R279" s="39"/>
      <c r="S279" s="39"/>
      <c r="T279" s="39"/>
      <c r="U279" s="39"/>
      <c r="W279" s="933">
        <v>1</v>
      </c>
      <c r="Y279" s="595"/>
    </row>
    <row r="280" spans="2:25" ht="22.5" customHeight="1">
      <c r="B280" s="207" t="str">
        <f>IF(Contents!$B$2=2,"St. Petersburg and Leningrad Region","Санкт-Петербург и Ленинградская область")</f>
        <v>St. Petersburg and Leningrad Region</v>
      </c>
      <c r="C280" s="53" t="str">
        <f>IF(Contents!$B$2=2,"people"," человек")</f>
        <v>people</v>
      </c>
      <c r="D280" s="46" t="s">
        <v>185</v>
      </c>
      <c r="E280" s="46" t="s">
        <v>185</v>
      </c>
      <c r="F280" s="46">
        <v>85</v>
      </c>
      <c r="G280" s="46">
        <v>199</v>
      </c>
      <c r="H280" s="46">
        <v>165</v>
      </c>
      <c r="I280" s="38">
        <v>122</v>
      </c>
      <c r="J280" s="38">
        <v>208</v>
      </c>
      <c r="K280" s="38">
        <v>196</v>
      </c>
      <c r="L280" s="38">
        <v>163</v>
      </c>
      <c r="M280" s="38">
        <v>164</v>
      </c>
      <c r="N280" s="89">
        <v>215</v>
      </c>
      <c r="O280" s="879"/>
      <c r="P280" s="558" t="str">
        <f>IF(Contents!$B$2=2,"Yes","Да")</f>
        <v>Yes</v>
      </c>
      <c r="Q280" s="824"/>
      <c r="R280" s="39"/>
      <c r="S280" s="39"/>
      <c r="T280" s="39"/>
      <c r="U280" s="39"/>
      <c r="W280" s="933">
        <v>1</v>
      </c>
      <c r="Y280" s="595"/>
    </row>
    <row r="281" spans="2:25" ht="22.5" customHeight="1">
      <c r="B281" s="285" t="str">
        <f>IF(Contents!$B$2=2,"Other regions","Прочие регионы")</f>
        <v>Other regions</v>
      </c>
      <c r="C281" s="53" t="str">
        <f>IF(Contents!$B$2=2,"people"," человек")</f>
        <v>people</v>
      </c>
      <c r="D281" s="46" t="s">
        <v>185</v>
      </c>
      <c r="E281" s="46" t="s">
        <v>185</v>
      </c>
      <c r="F281" s="46">
        <v>188</v>
      </c>
      <c r="G281" s="46">
        <v>239</v>
      </c>
      <c r="H281" s="46">
        <v>408</v>
      </c>
      <c r="I281" s="38">
        <v>515</v>
      </c>
      <c r="J281" s="38">
        <v>591</v>
      </c>
      <c r="K281" s="38">
        <v>612</v>
      </c>
      <c r="L281" s="38">
        <v>532</v>
      </c>
      <c r="M281" s="38">
        <v>457</v>
      </c>
      <c r="N281" s="89">
        <v>349</v>
      </c>
      <c r="O281" s="879"/>
      <c r="P281" s="558" t="str">
        <f>IF(Contents!$B$2=2,"Yes","Да")</f>
        <v>Yes</v>
      </c>
      <c r="Q281" s="824"/>
      <c r="R281" s="39"/>
      <c r="S281" s="39"/>
      <c r="T281" s="39"/>
      <c r="U281" s="39"/>
      <c r="W281" s="933">
        <v>1</v>
      </c>
      <c r="Y281" s="595"/>
    </row>
    <row r="282" spans="2:25" ht="22.5" hidden="1" customHeight="1" outlineLevel="1">
      <c r="B282" s="367" t="str">
        <f>IF(Contents!$B$2=2,"Tyumen Region","Тюменская область")</f>
        <v>Tyumen Region</v>
      </c>
      <c r="C282" s="53" t="str">
        <f>IF(Contents!$B$2=2,"people"," человек")</f>
        <v>people</v>
      </c>
      <c r="D282" s="46" t="s">
        <v>185</v>
      </c>
      <c r="E282" s="46" t="s">
        <v>185</v>
      </c>
      <c r="F282" s="46">
        <v>31</v>
      </c>
      <c r="G282" s="46">
        <v>88</v>
      </c>
      <c r="H282" s="46">
        <v>126</v>
      </c>
      <c r="I282" s="38">
        <v>138</v>
      </c>
      <c r="J282" s="38">
        <v>186</v>
      </c>
      <c r="K282" s="38">
        <v>140</v>
      </c>
      <c r="L282" s="38">
        <v>139</v>
      </c>
      <c r="M282" s="38">
        <v>130</v>
      </c>
      <c r="N282" s="89">
        <v>124</v>
      </c>
      <c r="O282" s="879"/>
      <c r="P282" s="558" t="str">
        <f>IF(Contents!$B$2=2,"Yes","Да")</f>
        <v>Yes</v>
      </c>
      <c r="Q282" s="824"/>
      <c r="R282" s="39"/>
      <c r="S282" s="39"/>
      <c r="T282" s="39"/>
      <c r="U282" s="39"/>
      <c r="W282" s="933">
        <v>1</v>
      </c>
      <c r="Y282" s="595"/>
    </row>
    <row r="283" spans="2:25" ht="22.5" hidden="1" customHeight="1" outlineLevel="1">
      <c r="B283" s="367" t="str">
        <f>IF(Contents!$B$2=2,"Rostov Region","Ростовская область")</f>
        <v>Rostov Region</v>
      </c>
      <c r="C283" s="53" t="str">
        <f>IF(Contents!$B$2=2,"people"," человек")</f>
        <v>people</v>
      </c>
      <c r="D283" s="46" t="s">
        <v>185</v>
      </c>
      <c r="E283" s="46" t="s">
        <v>185</v>
      </c>
      <c r="F283" s="46">
        <v>41</v>
      </c>
      <c r="G283" s="46">
        <v>36</v>
      </c>
      <c r="H283" s="46">
        <v>51</v>
      </c>
      <c r="I283" s="38">
        <v>213</v>
      </c>
      <c r="J283" s="38">
        <v>40</v>
      </c>
      <c r="K283" s="38">
        <v>32</v>
      </c>
      <c r="L283" s="38">
        <v>23</v>
      </c>
      <c r="M283" s="38">
        <v>32</v>
      </c>
      <c r="N283" s="89">
        <v>24</v>
      </c>
      <c r="O283" s="879"/>
      <c r="P283" s="558" t="str">
        <f>IF(Contents!$B$2=2,"Yes","Да")</f>
        <v>Yes</v>
      </c>
      <c r="Q283" s="824"/>
      <c r="R283" s="39"/>
      <c r="S283" s="39"/>
      <c r="T283" s="39"/>
      <c r="U283" s="39"/>
      <c r="W283" s="933">
        <v>1</v>
      </c>
      <c r="Y283" s="595"/>
    </row>
    <row r="284" spans="2:25" ht="22.5" hidden="1" customHeight="1" outlineLevel="1">
      <c r="B284" s="367" t="str">
        <f>IF(Contents!$B$2=2,"Kostroma Region","Костромская область")</f>
        <v>Kostroma Region</v>
      </c>
      <c r="C284" s="53" t="str">
        <f>IF(Contents!$B$2=2,"people"," человек")</f>
        <v>people</v>
      </c>
      <c r="D284" s="46" t="s">
        <v>185</v>
      </c>
      <c r="E284" s="46" t="s">
        <v>185</v>
      </c>
      <c r="F284" s="46">
        <v>12</v>
      </c>
      <c r="G284" s="46">
        <v>17</v>
      </c>
      <c r="H284" s="46">
        <v>14</v>
      </c>
      <c r="I284" s="38">
        <v>42</v>
      </c>
      <c r="J284" s="38">
        <v>16</v>
      </c>
      <c r="K284" s="38">
        <v>12</v>
      </c>
      <c r="L284" s="38">
        <v>1</v>
      </c>
      <c r="M284" s="38">
        <v>4</v>
      </c>
      <c r="N284" s="89">
        <v>11</v>
      </c>
      <c r="O284" s="879"/>
      <c r="P284" s="558" t="str">
        <f>IF(Contents!$B$2=2,"Yes","Да")</f>
        <v>Yes</v>
      </c>
      <c r="Q284" s="824"/>
      <c r="R284" s="39"/>
      <c r="S284" s="39"/>
      <c r="T284" s="39"/>
      <c r="U284" s="39"/>
      <c r="W284" s="933">
        <v>1</v>
      </c>
      <c r="Y284" s="595"/>
    </row>
    <row r="285" spans="2:25" ht="22.5" hidden="1" customHeight="1" outlineLevel="1">
      <c r="B285" s="367" t="str">
        <f>IF(Contents!$B$2=2,"Volgograd Region","Волгоградская область")</f>
        <v>Volgograd Region</v>
      </c>
      <c r="C285" s="53" t="str">
        <f>IF(Contents!$B$2=2,"people"," человек")</f>
        <v>people</v>
      </c>
      <c r="D285" s="46" t="s">
        <v>185</v>
      </c>
      <c r="E285" s="46" t="s">
        <v>185</v>
      </c>
      <c r="F285" s="46">
        <v>37</v>
      </c>
      <c r="G285" s="46">
        <v>46</v>
      </c>
      <c r="H285" s="46">
        <v>78</v>
      </c>
      <c r="I285" s="38">
        <v>11</v>
      </c>
      <c r="J285" s="38">
        <v>57</v>
      </c>
      <c r="K285" s="38">
        <v>40</v>
      </c>
      <c r="L285" s="38">
        <v>34</v>
      </c>
      <c r="M285" s="38">
        <v>34</v>
      </c>
      <c r="N285" s="89">
        <v>39</v>
      </c>
      <c r="O285" s="879"/>
      <c r="P285" s="558" t="str">
        <f>IF(Contents!$B$2=2,"Yes","Да")</f>
        <v>Yes</v>
      </c>
      <c r="Q285" s="824"/>
      <c r="R285" s="39"/>
      <c r="S285" s="39"/>
      <c r="T285" s="39"/>
      <c r="U285" s="39"/>
      <c r="W285" s="933">
        <v>1</v>
      </c>
      <c r="Y285" s="595"/>
    </row>
    <row r="286" spans="2:25" ht="22.5" hidden="1" customHeight="1" outlineLevel="1">
      <c r="B286" s="367" t="str">
        <f>IF(Contents!$B$2=2,"Murmansk Region","Мурманская область")</f>
        <v>Murmansk Region</v>
      </c>
      <c r="C286" s="53" t="str">
        <f>IF(Contents!$B$2=2,"people"," человек")</f>
        <v>people</v>
      </c>
      <c r="D286" s="46" t="s">
        <v>185</v>
      </c>
      <c r="E286" s="46" t="s">
        <v>185</v>
      </c>
      <c r="F286" s="46">
        <v>66</v>
      </c>
      <c r="G286" s="46">
        <v>43</v>
      </c>
      <c r="H286" s="46">
        <v>114</v>
      </c>
      <c r="I286" s="38">
        <v>62</v>
      </c>
      <c r="J286" s="38">
        <v>236</v>
      </c>
      <c r="K286" s="38">
        <v>342</v>
      </c>
      <c r="L286" s="38">
        <v>244</v>
      </c>
      <c r="M286" s="38">
        <v>146</v>
      </c>
      <c r="N286" s="89">
        <v>70</v>
      </c>
      <c r="O286" s="879"/>
      <c r="P286" s="558" t="str">
        <f>IF(Contents!$B$2=2,"Yes","Да")</f>
        <v>Yes</v>
      </c>
      <c r="Q286" s="824"/>
      <c r="R286" s="39"/>
      <c r="S286" s="39"/>
      <c r="T286" s="39"/>
      <c r="U286" s="39"/>
      <c r="W286" s="933">
        <v>1</v>
      </c>
      <c r="Y286" s="595"/>
    </row>
    <row r="287" spans="2:25" ht="22.5" hidden="1" customHeight="1" outlineLevel="1">
      <c r="B287" s="367" t="str">
        <f>IF(Contents!$B$2=2,"Khanty-Mansiysk Autonomous Region","Ханты-Мансийский автономный округ")</f>
        <v>Khanty-Mansiysk Autonomous Region</v>
      </c>
      <c r="C287" s="53" t="str">
        <f>IF(Contents!$B$2=2,"people"," человек")</f>
        <v>people</v>
      </c>
      <c r="D287" s="46" t="s">
        <v>185</v>
      </c>
      <c r="E287" s="46" t="s">
        <v>185</v>
      </c>
      <c r="F287" s="46">
        <v>0</v>
      </c>
      <c r="G287" s="46">
        <v>2</v>
      </c>
      <c r="H287" s="46">
        <v>7</v>
      </c>
      <c r="I287" s="38">
        <v>2</v>
      </c>
      <c r="J287" s="38">
        <v>9</v>
      </c>
      <c r="K287" s="38">
        <v>6</v>
      </c>
      <c r="L287" s="38">
        <v>4</v>
      </c>
      <c r="M287" s="38">
        <v>3</v>
      </c>
      <c r="N287" s="89">
        <v>1</v>
      </c>
      <c r="O287" s="879"/>
      <c r="P287" s="558" t="str">
        <f>IF(Contents!$B$2=2,"Yes","Да")</f>
        <v>Yes</v>
      </c>
      <c r="Q287" s="824"/>
      <c r="R287" s="39"/>
      <c r="S287" s="39"/>
      <c r="T287" s="39"/>
      <c r="U287" s="39"/>
      <c r="W287" s="933">
        <v>1</v>
      </c>
      <c r="Y287" s="595"/>
    </row>
    <row r="288" spans="2:25" ht="22.5" hidden="1" customHeight="1" outlineLevel="1">
      <c r="B288" s="367" t="str">
        <f>IF(Contents!$B$2=2,"Perm Territory","Пермский край")</f>
        <v>Perm Territory</v>
      </c>
      <c r="C288" s="53" t="str">
        <f>IF(Contents!$B$2=2,"people"," человек")</f>
        <v>people</v>
      </c>
      <c r="D288" s="46" t="s">
        <v>185</v>
      </c>
      <c r="E288" s="46" t="s">
        <v>185</v>
      </c>
      <c r="F288" s="46">
        <v>0</v>
      </c>
      <c r="G288" s="46">
        <v>1</v>
      </c>
      <c r="H288" s="46">
        <v>0</v>
      </c>
      <c r="I288" s="38">
        <v>1</v>
      </c>
      <c r="J288" s="38">
        <v>2</v>
      </c>
      <c r="K288" s="38">
        <v>0</v>
      </c>
      <c r="L288" s="38">
        <v>0</v>
      </c>
      <c r="M288" s="38">
        <v>0</v>
      </c>
      <c r="N288" s="89">
        <v>0</v>
      </c>
      <c r="O288" s="879"/>
      <c r="P288" s="558" t="str">
        <f>IF(Contents!$B$2=2,"Yes","Да")</f>
        <v>Yes</v>
      </c>
      <c r="Q288" s="824"/>
      <c r="R288" s="39"/>
      <c r="S288" s="39"/>
      <c r="T288" s="39"/>
      <c r="U288" s="39"/>
      <c r="W288" s="933">
        <v>1</v>
      </c>
      <c r="Y288" s="595"/>
    </row>
    <row r="289" spans="2:25" ht="22.5" hidden="1" customHeight="1" outlineLevel="1">
      <c r="B289" s="367" t="str">
        <f>IF(Contents!$B$2=2,"Astrakhan Region","Астраханская область")</f>
        <v>Astrakhan Region</v>
      </c>
      <c r="C289" s="53" t="str">
        <f>IF(Contents!$B$2=2,"people"," человек")</f>
        <v>people</v>
      </c>
      <c r="D289" s="46" t="s">
        <v>185</v>
      </c>
      <c r="E289" s="46" t="s">
        <v>185</v>
      </c>
      <c r="F289" s="46">
        <v>0</v>
      </c>
      <c r="G289" s="46">
        <v>2</v>
      </c>
      <c r="H289" s="46">
        <v>2</v>
      </c>
      <c r="I289" s="38">
        <v>16</v>
      </c>
      <c r="J289" s="38">
        <v>3</v>
      </c>
      <c r="K289" s="38">
        <v>1</v>
      </c>
      <c r="L289" s="38">
        <v>10</v>
      </c>
      <c r="M289" s="38">
        <v>3</v>
      </c>
      <c r="N289" s="89">
        <v>1</v>
      </c>
      <c r="O289" s="879"/>
      <c r="P289" s="558" t="str">
        <f>IF(Contents!$B$2=2,"Yes","Да")</f>
        <v>Yes</v>
      </c>
      <c r="Q289" s="824"/>
      <c r="R289" s="39"/>
      <c r="S289" s="39"/>
      <c r="T289" s="39"/>
      <c r="U289" s="39"/>
      <c r="W289" s="933">
        <v>1</v>
      </c>
      <c r="Y289" s="595"/>
    </row>
    <row r="290" spans="2:25" ht="22.5" hidden="1" customHeight="1" outlineLevel="1">
      <c r="B290" s="367" t="str">
        <f>IF(Contents!$B$2=2,"Krasnodar Territory","Краснодарский край")</f>
        <v>Krasnodar Territory</v>
      </c>
      <c r="C290" s="53" t="str">
        <f>IF(Contents!$B$2=2,"people"," человек")</f>
        <v>people</v>
      </c>
      <c r="D290" s="46" t="s">
        <v>185</v>
      </c>
      <c r="E290" s="46" t="s">
        <v>185</v>
      </c>
      <c r="F290" s="46">
        <v>0</v>
      </c>
      <c r="G290" s="46">
        <v>2</v>
      </c>
      <c r="H290" s="46">
        <v>2</v>
      </c>
      <c r="I290" s="38">
        <v>2</v>
      </c>
      <c r="J290" s="38">
        <v>0</v>
      </c>
      <c r="K290" s="38">
        <v>2</v>
      </c>
      <c r="L290" s="38">
        <v>2</v>
      </c>
      <c r="M290" s="38">
        <v>0</v>
      </c>
      <c r="N290" s="89">
        <v>0</v>
      </c>
      <c r="O290" s="879"/>
      <c r="P290" s="558" t="str">
        <f>IF(Contents!$B$2=2,"Yes","Да")</f>
        <v>Yes</v>
      </c>
      <c r="Q290" s="824"/>
      <c r="R290" s="39"/>
      <c r="S290" s="39"/>
      <c r="T290" s="39"/>
      <c r="U290" s="39"/>
      <c r="W290" s="933">
        <v>1</v>
      </c>
      <c r="Y290" s="595"/>
    </row>
    <row r="291" spans="2:25" ht="22.5" hidden="1" customHeight="1" outlineLevel="1">
      <c r="B291" s="367" t="str">
        <f>IF(Contents!$B$2=2,"Samara Region","Самарская область")</f>
        <v>Samara Region</v>
      </c>
      <c r="C291" s="53" t="str">
        <f>IF(Contents!$B$2=2,"people"," человек")</f>
        <v>people</v>
      </c>
      <c r="D291" s="46" t="s">
        <v>185</v>
      </c>
      <c r="E291" s="46" t="s">
        <v>185</v>
      </c>
      <c r="F291" s="46">
        <v>1</v>
      </c>
      <c r="G291" s="46">
        <v>0</v>
      </c>
      <c r="H291" s="46">
        <v>3</v>
      </c>
      <c r="I291" s="38">
        <v>10</v>
      </c>
      <c r="J291" s="38">
        <v>10</v>
      </c>
      <c r="K291" s="38">
        <v>2</v>
      </c>
      <c r="L291" s="38">
        <v>6</v>
      </c>
      <c r="M291" s="38">
        <v>16</v>
      </c>
      <c r="N291" s="89">
        <v>4</v>
      </c>
      <c r="O291" s="879"/>
      <c r="P291" s="558" t="str">
        <f>IF(Contents!$B$2=2,"Yes","Да")</f>
        <v>Yes</v>
      </c>
      <c r="Q291" s="824"/>
      <c r="R291" s="39"/>
      <c r="S291" s="39"/>
      <c r="T291" s="39"/>
      <c r="U291" s="39"/>
      <c r="W291" s="933">
        <v>1</v>
      </c>
      <c r="Y291" s="595"/>
    </row>
    <row r="292" spans="2:25" ht="22.5" hidden="1" customHeight="1" outlineLevel="1">
      <c r="B292" s="367" t="str">
        <f>IF(Contents!$B$2=2,"Arkhangelsk Region","Архангельская область")</f>
        <v>Arkhangelsk Region</v>
      </c>
      <c r="C292" s="53" t="str">
        <f>IF(Contents!$B$2=2,"people"," человек")</f>
        <v>people</v>
      </c>
      <c r="D292" s="46" t="s">
        <v>185</v>
      </c>
      <c r="E292" s="46" t="s">
        <v>185</v>
      </c>
      <c r="F292" s="46">
        <v>0</v>
      </c>
      <c r="G292" s="46">
        <v>0</v>
      </c>
      <c r="H292" s="46">
        <v>0</v>
      </c>
      <c r="I292" s="38">
        <v>3</v>
      </c>
      <c r="J292" s="38">
        <v>1</v>
      </c>
      <c r="K292" s="38">
        <v>0</v>
      </c>
      <c r="L292" s="38">
        <v>2</v>
      </c>
      <c r="M292" s="38">
        <v>0</v>
      </c>
      <c r="N292" s="89">
        <v>0</v>
      </c>
      <c r="O292" s="879"/>
      <c r="P292" s="558" t="str">
        <f>IF(Contents!$B$2=2,"Yes","Да")</f>
        <v>Yes</v>
      </c>
      <c r="Q292" s="824"/>
      <c r="R292" s="39"/>
      <c r="S292" s="39"/>
      <c r="T292" s="39"/>
      <c r="U292" s="39"/>
      <c r="W292" s="933">
        <v>1</v>
      </c>
      <c r="Y292" s="595"/>
    </row>
    <row r="293" spans="2:25" ht="22.5" hidden="1" customHeight="1" outlineLevel="1">
      <c r="B293" s="367" t="str">
        <f>IF(Contents!$B$2=2,"Kamchatka Territory","Камчатский край")</f>
        <v>Kamchatka Territory</v>
      </c>
      <c r="C293" s="53" t="str">
        <f>IF(Contents!$B$2=2,"people"," человек")</f>
        <v>people</v>
      </c>
      <c r="D293" s="46" t="s">
        <v>185</v>
      </c>
      <c r="E293" s="46" t="s">
        <v>185</v>
      </c>
      <c r="F293" s="46">
        <v>0</v>
      </c>
      <c r="G293" s="46">
        <v>2</v>
      </c>
      <c r="H293" s="46">
        <v>1</v>
      </c>
      <c r="I293" s="38">
        <v>1</v>
      </c>
      <c r="J293" s="38">
        <v>6</v>
      </c>
      <c r="K293" s="38">
        <v>13</v>
      </c>
      <c r="L293" s="38">
        <v>48</v>
      </c>
      <c r="M293" s="38">
        <v>31</v>
      </c>
      <c r="N293" s="89">
        <v>50</v>
      </c>
      <c r="O293" s="879"/>
      <c r="P293" s="558" t="str">
        <f>IF(Contents!$B$2=2,"Yes","Да")</f>
        <v>Yes</v>
      </c>
      <c r="Q293" s="824"/>
      <c r="R293" s="39"/>
      <c r="S293" s="39"/>
      <c r="T293" s="39"/>
      <c r="U293" s="39"/>
      <c r="W293" s="933">
        <v>1</v>
      </c>
      <c r="Y293" s="595"/>
    </row>
    <row r="294" spans="2:25" ht="22.5" hidden="1" customHeight="1" outlineLevel="1">
      <c r="B294" s="367" t="str">
        <f>IF(Contents!$B$2=2,"Republic of Bashkortostan","Республика Башкортостан")</f>
        <v>Republic of Bashkortostan</v>
      </c>
      <c r="C294" s="53" t="str">
        <f>IF(Contents!$B$2=2,"people"," человек")</f>
        <v>people</v>
      </c>
      <c r="D294" s="46" t="s">
        <v>185</v>
      </c>
      <c r="E294" s="46" t="s">
        <v>185</v>
      </c>
      <c r="F294" s="46">
        <v>0</v>
      </c>
      <c r="G294" s="46">
        <v>0</v>
      </c>
      <c r="H294" s="46">
        <v>9</v>
      </c>
      <c r="I294" s="38">
        <v>6</v>
      </c>
      <c r="J294" s="38">
        <v>5</v>
      </c>
      <c r="K294" s="38">
        <v>6</v>
      </c>
      <c r="L294" s="38">
        <v>6</v>
      </c>
      <c r="M294" s="38">
        <v>3</v>
      </c>
      <c r="N294" s="89">
        <v>1</v>
      </c>
      <c r="O294" s="879"/>
      <c r="P294" s="558" t="str">
        <f>IF(Contents!$B$2=2,"Yes","Да")</f>
        <v>Yes</v>
      </c>
      <c r="Q294" s="824"/>
      <c r="R294" s="39"/>
      <c r="S294" s="39"/>
      <c r="T294" s="39"/>
      <c r="U294" s="39"/>
      <c r="W294" s="933">
        <v>1</v>
      </c>
      <c r="Y294" s="595"/>
    </row>
    <row r="295" spans="2:25" ht="22.5" hidden="1" customHeight="1" outlineLevel="1">
      <c r="B295" s="367" t="str">
        <f>IF(Contents!$B$2=2,"Novosibirsk Region","Новосибирская область")</f>
        <v>Novosibirsk Region</v>
      </c>
      <c r="C295" s="53" t="str">
        <f>IF(Contents!$B$2=2,"people"," человек")</f>
        <v>people</v>
      </c>
      <c r="D295" s="46" t="s">
        <v>185</v>
      </c>
      <c r="E295" s="46" t="s">
        <v>185</v>
      </c>
      <c r="F295" s="46">
        <v>0</v>
      </c>
      <c r="G295" s="46">
        <v>0</v>
      </c>
      <c r="H295" s="46">
        <v>1</v>
      </c>
      <c r="I295" s="38">
        <v>6</v>
      </c>
      <c r="J295" s="38">
        <v>0</v>
      </c>
      <c r="K295" s="38">
        <v>0</v>
      </c>
      <c r="L295" s="38">
        <v>0</v>
      </c>
      <c r="M295" s="38">
        <v>0</v>
      </c>
      <c r="N295" s="89">
        <v>0</v>
      </c>
      <c r="O295" s="879"/>
      <c r="P295" s="558" t="str">
        <f>IF(Contents!$B$2=2,"Yes","Да")</f>
        <v>Yes</v>
      </c>
      <c r="Q295" s="824"/>
      <c r="R295" s="39"/>
      <c r="S295" s="39"/>
      <c r="T295" s="39"/>
      <c r="U295" s="39"/>
      <c r="W295" s="933">
        <v>1</v>
      </c>
      <c r="Y295" s="595"/>
    </row>
    <row r="296" spans="2:25" ht="22.5" hidden="1" customHeight="1" outlineLevel="1">
      <c r="B296" s="367" t="str">
        <f>IF(Contents!$B$2=2,"Sverdlovsk Region","Свердловская область")</f>
        <v>Sverdlovsk Region</v>
      </c>
      <c r="C296" s="53" t="str">
        <f>IF(Contents!$B$2=2,"people"," человек")</f>
        <v>people</v>
      </c>
      <c r="D296" s="46" t="s">
        <v>185</v>
      </c>
      <c r="E296" s="46" t="s">
        <v>185</v>
      </c>
      <c r="F296" s="38">
        <v>0</v>
      </c>
      <c r="G296" s="38">
        <v>0</v>
      </c>
      <c r="H296" s="38">
        <v>0</v>
      </c>
      <c r="I296" s="38">
        <v>1</v>
      </c>
      <c r="J296" s="38">
        <v>5</v>
      </c>
      <c r="K296" s="38">
        <v>4</v>
      </c>
      <c r="L296" s="38">
        <v>3</v>
      </c>
      <c r="M296" s="38">
        <v>0</v>
      </c>
      <c r="N296" s="89">
        <v>0</v>
      </c>
      <c r="O296" s="879"/>
      <c r="P296" s="558" t="str">
        <f>IF(Contents!$B$2=2,"Yes","Да")</f>
        <v>Yes</v>
      </c>
      <c r="Q296" s="824"/>
      <c r="R296" s="39"/>
      <c r="S296" s="39"/>
      <c r="T296" s="39"/>
      <c r="U296" s="39"/>
      <c r="W296" s="933">
        <v>1</v>
      </c>
      <c r="Y296" s="595"/>
    </row>
    <row r="297" spans="2:25" ht="22.5" hidden="1" customHeight="1" outlineLevel="1">
      <c r="B297" s="367" t="str">
        <f>IF(Contents!$B$2=2,"Tver region","Тверская область")</f>
        <v>Tver region</v>
      </c>
      <c r="C297" s="53" t="str">
        <f>IF(Contents!$B$2=2,"people"," человек")</f>
        <v>people</v>
      </c>
      <c r="D297" s="46" t="s">
        <v>185</v>
      </c>
      <c r="E297" s="46" t="s">
        <v>185</v>
      </c>
      <c r="F297" s="38">
        <v>0</v>
      </c>
      <c r="G297" s="38">
        <v>0</v>
      </c>
      <c r="H297" s="38">
        <v>0</v>
      </c>
      <c r="I297" s="38">
        <v>0</v>
      </c>
      <c r="J297" s="38">
        <v>7</v>
      </c>
      <c r="K297" s="38">
        <v>1</v>
      </c>
      <c r="L297" s="38">
        <v>1</v>
      </c>
      <c r="M297" s="38">
        <v>1</v>
      </c>
      <c r="N297" s="89">
        <v>3</v>
      </c>
      <c r="O297" s="879"/>
      <c r="P297" s="558" t="str">
        <f>IF(Contents!$B$2=2,"Yes","Да")</f>
        <v>Yes</v>
      </c>
      <c r="Q297" s="824"/>
      <c r="R297" s="39"/>
      <c r="S297" s="39"/>
      <c r="T297" s="39"/>
      <c r="U297" s="39"/>
      <c r="W297" s="933">
        <v>1</v>
      </c>
      <c r="Y297" s="595"/>
    </row>
    <row r="298" spans="2:25" ht="22.5" hidden="1" customHeight="1" outlineLevel="1">
      <c r="B298" s="367" t="str">
        <f>IF(Contents!$B$2=2,"Tula Region","Тульская область")</f>
        <v>Tula Region</v>
      </c>
      <c r="C298" s="53" t="str">
        <f>IF(Contents!$B$2=2,"people"," человек")</f>
        <v>people</v>
      </c>
      <c r="D298" s="46" t="s">
        <v>185</v>
      </c>
      <c r="E298" s="46" t="s">
        <v>185</v>
      </c>
      <c r="F298" s="38">
        <v>0</v>
      </c>
      <c r="G298" s="38">
        <v>0</v>
      </c>
      <c r="H298" s="38">
        <v>0</v>
      </c>
      <c r="I298" s="38">
        <v>0</v>
      </c>
      <c r="J298" s="38">
        <v>2</v>
      </c>
      <c r="K298" s="38">
        <v>0</v>
      </c>
      <c r="L298" s="38">
        <v>2</v>
      </c>
      <c r="M298" s="38">
        <v>3</v>
      </c>
      <c r="N298" s="89">
        <v>3</v>
      </c>
      <c r="O298" s="879"/>
      <c r="P298" s="558" t="str">
        <f>IF(Contents!$B$2=2,"Yes","Да")</f>
        <v>Yes</v>
      </c>
      <c r="Q298" s="824"/>
      <c r="R298" s="39"/>
      <c r="S298" s="39"/>
      <c r="T298" s="39"/>
      <c r="U298" s="39"/>
      <c r="W298" s="933">
        <v>1</v>
      </c>
      <c r="Y298" s="595"/>
    </row>
    <row r="299" spans="2:25" ht="22.5" hidden="1" customHeight="1" outlineLevel="1">
      <c r="B299" s="367" t="str">
        <f>IF(Contents!$B$2=2,"Republic of Tatarstan","Республика Татарстан")</f>
        <v>Republic of Tatarstan</v>
      </c>
      <c r="C299" s="53" t="str">
        <f>IF(Contents!$B$2=2,"people"," человек")</f>
        <v>people</v>
      </c>
      <c r="D299" s="46" t="s">
        <v>185</v>
      </c>
      <c r="E299" s="46" t="s">
        <v>185</v>
      </c>
      <c r="F299" s="38">
        <v>0</v>
      </c>
      <c r="G299" s="38">
        <v>0</v>
      </c>
      <c r="H299" s="38">
        <v>0</v>
      </c>
      <c r="I299" s="38">
        <v>0</v>
      </c>
      <c r="J299" s="38">
        <v>6</v>
      </c>
      <c r="K299" s="38">
        <v>1</v>
      </c>
      <c r="L299" s="38">
        <v>1</v>
      </c>
      <c r="M299" s="38">
        <v>1</v>
      </c>
      <c r="N299" s="89">
        <v>0</v>
      </c>
      <c r="O299" s="879"/>
      <c r="P299" s="558" t="str">
        <f>IF(Contents!$B$2=2,"Yes","Да")</f>
        <v>Yes</v>
      </c>
      <c r="Q299" s="824"/>
      <c r="R299" s="39"/>
      <c r="S299" s="39"/>
      <c r="T299" s="39"/>
      <c r="U299" s="39"/>
      <c r="W299" s="933">
        <v>1</v>
      </c>
      <c r="Y299" s="595"/>
    </row>
    <row r="300" spans="2:25" ht="22.5" hidden="1" customHeight="1" outlineLevel="1">
      <c r="B300" s="367" t="str">
        <f>IF(Contents!$B$2=2,"Vladimir Region","Владимирская область")</f>
        <v>Vladimir Region</v>
      </c>
      <c r="C300" s="53" t="str">
        <f>IF(Contents!$B$2=2,"people"," человек")</f>
        <v>people</v>
      </c>
      <c r="D300" s="46" t="s">
        <v>185</v>
      </c>
      <c r="E300" s="46" t="s">
        <v>185</v>
      </c>
      <c r="F300" s="38">
        <v>0</v>
      </c>
      <c r="G300" s="38">
        <v>0</v>
      </c>
      <c r="H300" s="38">
        <v>0</v>
      </c>
      <c r="I300" s="38">
        <v>0</v>
      </c>
      <c r="J300" s="38">
        <v>0</v>
      </c>
      <c r="K300" s="38">
        <v>10</v>
      </c>
      <c r="L300" s="38">
        <v>0</v>
      </c>
      <c r="M300" s="38">
        <v>0</v>
      </c>
      <c r="N300" s="89">
        <v>7</v>
      </c>
      <c r="O300" s="879"/>
      <c r="P300" s="558" t="str">
        <f>IF(Contents!$B$2=2,"Yes","Да")</f>
        <v>Yes</v>
      </c>
      <c r="Q300" s="824"/>
      <c r="R300" s="39"/>
      <c r="S300" s="39"/>
      <c r="T300" s="39"/>
      <c r="U300" s="39"/>
      <c r="W300" s="933">
        <v>1</v>
      </c>
      <c r="Y300" s="595"/>
    </row>
    <row r="301" spans="2:25" ht="22.5" hidden="1" customHeight="1" outlineLevel="1">
      <c r="B301" s="367" t="str">
        <f>IF(Contents!$B$2=2,"Penza Region","Пензенская область")</f>
        <v>Penza Region</v>
      </c>
      <c r="C301" s="53" t="str">
        <f>IF(Contents!$B$2=2,"people"," человек")</f>
        <v>people</v>
      </c>
      <c r="D301" s="46" t="s">
        <v>185</v>
      </c>
      <c r="E301" s="46" t="s">
        <v>185</v>
      </c>
      <c r="F301" s="38">
        <v>0</v>
      </c>
      <c r="G301" s="38">
        <v>0</v>
      </c>
      <c r="H301" s="38">
        <v>0</v>
      </c>
      <c r="I301" s="38">
        <v>0</v>
      </c>
      <c r="J301" s="38">
        <v>0</v>
      </c>
      <c r="K301" s="38">
        <v>0</v>
      </c>
      <c r="L301" s="38">
        <v>6</v>
      </c>
      <c r="M301" s="38">
        <v>2</v>
      </c>
      <c r="N301" s="89">
        <v>1</v>
      </c>
      <c r="O301" s="879"/>
      <c r="P301" s="558" t="str">
        <f>IF(Contents!$B$2=2,"Yes","Да")</f>
        <v>Yes</v>
      </c>
      <c r="Q301" s="824"/>
      <c r="R301" s="39"/>
      <c r="S301" s="39"/>
      <c r="T301" s="39"/>
      <c r="U301" s="39"/>
      <c r="W301" s="933">
        <v>1</v>
      </c>
      <c r="Y301" s="595"/>
    </row>
    <row r="302" spans="2:25" ht="22.5" hidden="1" customHeight="1" outlineLevel="1">
      <c r="B302" s="368" t="str">
        <f>IF(Contents!$B$2=2,"Nizhny Novgorod region","Нижегородская область")</f>
        <v>Nizhny Novgorod region</v>
      </c>
      <c r="C302" s="53" t="str">
        <f>IF(Contents!$B$2=2,"people"," человек")</f>
        <v>people</v>
      </c>
      <c r="D302" s="81" t="s">
        <v>185</v>
      </c>
      <c r="E302" s="81" t="s">
        <v>185</v>
      </c>
      <c r="F302" s="81">
        <v>0</v>
      </c>
      <c r="G302" s="81">
        <v>0</v>
      </c>
      <c r="H302" s="81">
        <v>0</v>
      </c>
      <c r="I302" s="81">
        <v>0</v>
      </c>
      <c r="J302" s="81">
        <v>0</v>
      </c>
      <c r="K302" s="81">
        <v>0</v>
      </c>
      <c r="L302" s="81">
        <v>0</v>
      </c>
      <c r="M302" s="81">
        <v>6</v>
      </c>
      <c r="N302" s="89">
        <v>0</v>
      </c>
      <c r="O302" s="879"/>
      <c r="P302" s="558" t="str">
        <f>IF(Contents!$B$2=2,"Yes","Да")</f>
        <v>Yes</v>
      </c>
      <c r="Q302" s="824"/>
      <c r="R302" s="39"/>
      <c r="S302" s="39"/>
      <c r="T302" s="39"/>
      <c r="U302" s="39"/>
      <c r="W302" s="933">
        <v>1</v>
      </c>
      <c r="Y302" s="595"/>
    </row>
    <row r="303" spans="2:25" ht="22.5" hidden="1" customHeight="1" outlineLevel="1">
      <c r="B303" s="368" t="str">
        <f>IF(Contents!$B$2=2,"Primorsky Krai","Приморский край")</f>
        <v>Primorsky Krai</v>
      </c>
      <c r="C303" s="53" t="str">
        <f>IF(Contents!$B$2=2,"people"," человек")</f>
        <v>people</v>
      </c>
      <c r="D303" s="81" t="s">
        <v>185</v>
      </c>
      <c r="E303" s="81" t="s">
        <v>185</v>
      </c>
      <c r="F303" s="81">
        <v>0</v>
      </c>
      <c r="G303" s="81">
        <v>0</v>
      </c>
      <c r="H303" s="81">
        <v>0</v>
      </c>
      <c r="I303" s="81">
        <v>0</v>
      </c>
      <c r="J303" s="81">
        <v>0</v>
      </c>
      <c r="K303" s="81">
        <v>0</v>
      </c>
      <c r="L303" s="81">
        <v>0</v>
      </c>
      <c r="M303" s="81">
        <v>42</v>
      </c>
      <c r="N303" s="89">
        <v>1</v>
      </c>
      <c r="O303" s="879"/>
      <c r="P303" s="558" t="str">
        <f>IF(Contents!$B$2=2,"Yes","Да")</f>
        <v>Yes</v>
      </c>
      <c r="Q303" s="824"/>
      <c r="R303" s="39"/>
      <c r="S303" s="39"/>
      <c r="T303" s="39"/>
      <c r="U303" s="39"/>
      <c r="W303" s="933">
        <v>1</v>
      </c>
      <c r="Y303" s="595"/>
    </row>
    <row r="304" spans="2:25" ht="22.5" hidden="1" customHeight="1" outlineLevel="1">
      <c r="B304" s="368" t="str">
        <f>IF(Contents!$B$2=2,"Republic of Mari El","Республика Марий Эл")</f>
        <v>Republic of Mari El</v>
      </c>
      <c r="C304" s="53" t="str">
        <f>IF(Contents!$B$2=2,"people"," человек")</f>
        <v>people</v>
      </c>
      <c r="D304" s="46" t="s">
        <v>185</v>
      </c>
      <c r="E304" s="46" t="s">
        <v>185</v>
      </c>
      <c r="F304" s="46">
        <v>0</v>
      </c>
      <c r="G304" s="46">
        <v>0</v>
      </c>
      <c r="H304" s="46">
        <v>0</v>
      </c>
      <c r="I304" s="46">
        <v>1</v>
      </c>
      <c r="J304" s="46">
        <v>0</v>
      </c>
      <c r="K304" s="91">
        <v>0</v>
      </c>
      <c r="L304" s="91">
        <v>0</v>
      </c>
      <c r="M304" s="91">
        <v>0</v>
      </c>
      <c r="N304" s="89">
        <v>0</v>
      </c>
      <c r="O304" s="879"/>
      <c r="P304" s="558" t="str">
        <f>IF(Contents!$B$2=2,"Yes","Да")</f>
        <v>Yes</v>
      </c>
      <c r="Q304" s="824"/>
      <c r="R304" s="39"/>
      <c r="S304" s="39"/>
      <c r="T304" s="39"/>
      <c r="U304" s="39"/>
      <c r="W304" s="933">
        <v>1</v>
      </c>
      <c r="Y304" s="595"/>
    </row>
    <row r="305" spans="2:25" ht="22.35" hidden="1" customHeight="1" outlineLevel="1">
      <c r="B305" s="368" t="str">
        <f>IF(Contents!$B$2=2,"Chuvash Republic","Чувашская республика")</f>
        <v>Chuvash Republic</v>
      </c>
      <c r="C305" s="53" t="str">
        <f>IF(Contents!$B$2=2,"people"," человек")</f>
        <v>people</v>
      </c>
      <c r="D305" s="46" t="s">
        <v>185</v>
      </c>
      <c r="E305" s="46" t="s">
        <v>185</v>
      </c>
      <c r="F305" s="90" t="s">
        <v>185</v>
      </c>
      <c r="G305" s="90" t="s">
        <v>185</v>
      </c>
      <c r="H305" s="90" t="s">
        <v>185</v>
      </c>
      <c r="I305" s="46" t="s">
        <v>185</v>
      </c>
      <c r="J305" s="46" t="s">
        <v>185</v>
      </c>
      <c r="K305" s="46" t="s">
        <v>185</v>
      </c>
      <c r="L305" s="46" t="s">
        <v>185</v>
      </c>
      <c r="M305" s="46" t="s">
        <v>185</v>
      </c>
      <c r="N305" s="89">
        <v>9</v>
      </c>
      <c r="O305" s="879"/>
      <c r="P305" s="558" t="str">
        <f>IF(Contents!$B$2=2,"Yes","Да")</f>
        <v>Yes</v>
      </c>
      <c r="Q305" s="824"/>
      <c r="R305" s="39"/>
      <c r="S305" s="39"/>
      <c r="T305" s="39"/>
      <c r="U305" s="39"/>
      <c r="W305" s="933">
        <v>1</v>
      </c>
      <c r="Y305" s="595"/>
    </row>
    <row r="306" spans="2:25" ht="22.5" customHeight="1" collapsed="1">
      <c r="B306" s="78" t="str">
        <f>IF(Contents!$B$2=2,"Other countries","Прочие страны")</f>
        <v>Other countries</v>
      </c>
      <c r="C306" s="53" t="str">
        <f>IF(Contents!$B$2=2,"people"," человек")</f>
        <v>people</v>
      </c>
      <c r="D306" s="46" t="s">
        <v>185</v>
      </c>
      <c r="E306" s="46" t="s">
        <v>185</v>
      </c>
      <c r="F306" s="46">
        <v>33</v>
      </c>
      <c r="G306" s="46">
        <v>35</v>
      </c>
      <c r="H306" s="46">
        <v>60</v>
      </c>
      <c r="I306" s="38">
        <v>39</v>
      </c>
      <c r="J306" s="38">
        <v>46</v>
      </c>
      <c r="K306" s="38">
        <v>26</v>
      </c>
      <c r="L306" s="38">
        <v>36</v>
      </c>
      <c r="M306" s="38">
        <v>35</v>
      </c>
      <c r="N306" s="89">
        <v>12</v>
      </c>
      <c r="O306" s="879"/>
      <c r="P306" s="558" t="str">
        <f>IF(Contents!$B$2=2,"Yes","Да")</f>
        <v>Yes</v>
      </c>
      <c r="Q306" s="824"/>
      <c r="R306" s="39"/>
      <c r="S306" s="39"/>
      <c r="T306" s="39"/>
      <c r="U306" s="39"/>
      <c r="W306" s="933">
        <v>1</v>
      </c>
      <c r="Y306" s="595"/>
    </row>
    <row r="307" spans="2:25">
      <c r="B307" s="386"/>
      <c r="C307" s="53"/>
      <c r="D307" s="46"/>
      <c r="E307" s="46"/>
      <c r="F307" s="377"/>
      <c r="G307" s="377"/>
      <c r="H307" s="377"/>
      <c r="I307" s="377"/>
      <c r="J307" s="377"/>
      <c r="K307" s="377"/>
      <c r="L307" s="377"/>
      <c r="M307" s="377"/>
      <c r="N307" s="377"/>
      <c r="O307" s="38"/>
      <c r="P307" s="558"/>
      <c r="Q307" s="38"/>
      <c r="R307" s="535"/>
      <c r="S307" s="535"/>
      <c r="T307" s="535"/>
      <c r="U307" s="39"/>
    </row>
    <row r="308" spans="2:25" ht="20.100000000000001" customHeight="1">
      <c r="B308" s="45" t="str">
        <f>IF(Contents!$B$2=2,"Social support for employees","Социальная поддержка работников")</f>
        <v>Social support for employees</v>
      </c>
      <c r="C308" s="105"/>
      <c r="D308" s="106"/>
      <c r="E308" s="106"/>
      <c r="F308" s="106"/>
      <c r="G308" s="106"/>
      <c r="H308" s="106"/>
      <c r="I308" s="363"/>
      <c r="J308" s="363"/>
      <c r="K308" s="363"/>
      <c r="L308" s="363"/>
      <c r="M308" s="363"/>
      <c r="N308" s="363"/>
      <c r="O308" s="40"/>
      <c r="P308" s="558"/>
      <c r="Q308" s="40"/>
      <c r="R308" s="39"/>
      <c r="S308" s="39"/>
      <c r="T308" s="39"/>
      <c r="U308" s="39"/>
    </row>
    <row r="309" spans="2:25" ht="22.5" customHeight="1">
      <c r="B309" s="371" t="str">
        <f>IF(Contents!$B$2=2,"Support for trade unions","Поддержка профсоюзных организаций")</f>
        <v>Support for trade unions</v>
      </c>
      <c r="C309" s="49"/>
      <c r="D309" s="372"/>
      <c r="E309" s="372"/>
      <c r="F309" s="372"/>
      <c r="G309" s="372"/>
      <c r="H309" s="372"/>
      <c r="I309" s="379"/>
      <c r="J309" s="372"/>
      <c r="K309" s="372"/>
      <c r="L309" s="372"/>
      <c r="M309" s="372"/>
      <c r="N309" s="372"/>
      <c r="O309" s="37"/>
      <c r="P309" s="558"/>
      <c r="Q309" s="37"/>
      <c r="R309" s="39"/>
      <c r="S309" s="39"/>
      <c r="T309" s="39"/>
      <c r="U309" s="39"/>
    </row>
    <row r="310" spans="2:25" ht="22.5" customHeight="1">
      <c r="B310" s="387" t="str">
        <f>IF(Contents!$B$2=2,"Allocations to support trade unions","Отчисления средств на поддержку профсоюзов")</f>
        <v>Allocations to support trade unions</v>
      </c>
      <c r="C310" s="388" t="str">
        <f>IF(Contents!$B$2=2,"RR mln","млн руб.")</f>
        <v>RR mln</v>
      </c>
      <c r="D310" s="389">
        <v>4.5999999999999996</v>
      </c>
      <c r="E310" s="389">
        <v>4.9000000000000004</v>
      </c>
      <c r="F310" s="389">
        <v>5.0999999999999996</v>
      </c>
      <c r="G310" s="389">
        <v>5.2</v>
      </c>
      <c r="H310" s="389">
        <v>5.2</v>
      </c>
      <c r="I310" s="378">
        <v>4.4000000000000004</v>
      </c>
      <c r="J310" s="378">
        <v>5.2</v>
      </c>
      <c r="K310" s="378">
        <v>6.8</v>
      </c>
      <c r="L310" s="378">
        <v>7.5</v>
      </c>
      <c r="M310" s="378">
        <v>7.5</v>
      </c>
      <c r="N310" s="97">
        <v>8.4</v>
      </c>
      <c r="O310" s="394"/>
      <c r="P310" s="558"/>
      <c r="Q310" s="394"/>
      <c r="R310" s="39"/>
      <c r="S310" s="39"/>
      <c r="T310" s="39"/>
      <c r="U310" s="39"/>
      <c r="W310" s="933">
        <v>2</v>
      </c>
    </row>
    <row r="311" spans="2:25" ht="22.5" customHeight="1">
      <c r="B311" s="387" t="str">
        <f>IF(Contents!$B$2=2,"Membership in trade unions","Членство в профсоюзах")</f>
        <v>Membership in trade unions</v>
      </c>
      <c r="C311" s="53" t="s">
        <v>0</v>
      </c>
      <c r="D311" s="46" t="s">
        <v>185</v>
      </c>
      <c r="E311" s="46" t="s">
        <v>185</v>
      </c>
      <c r="F311" s="46">
        <v>48</v>
      </c>
      <c r="G311" s="46">
        <v>59</v>
      </c>
      <c r="H311" s="46">
        <v>62</v>
      </c>
      <c r="I311" s="38">
        <v>59</v>
      </c>
      <c r="J311" s="46">
        <v>62</v>
      </c>
      <c r="K311" s="46">
        <v>63</v>
      </c>
      <c r="L311" s="46">
        <v>64</v>
      </c>
      <c r="M311" s="46">
        <v>65</v>
      </c>
      <c r="N311" s="104">
        <v>66</v>
      </c>
      <c r="O311" s="869"/>
      <c r="P311" s="558" t="str">
        <f>IF(Contents!$B$2=2,"Yes","Да")</f>
        <v>Yes</v>
      </c>
      <c r="Q311" s="193"/>
      <c r="R311" s="39"/>
      <c r="S311" s="39"/>
      <c r="T311" s="39"/>
      <c r="U311" s="39"/>
      <c r="W311" s="933">
        <v>2</v>
      </c>
    </row>
    <row r="312" spans="2:25" ht="22.5" customHeight="1">
      <c r="B312" s="387"/>
      <c r="C312" s="53"/>
      <c r="D312" s="46"/>
      <c r="E312" s="46"/>
      <c r="F312" s="46"/>
      <c r="G312" s="46"/>
      <c r="H312" s="46"/>
      <c r="I312" s="38"/>
      <c r="J312" s="46"/>
      <c r="K312" s="46"/>
      <c r="L312" s="46"/>
      <c r="M312" s="46"/>
      <c r="N312" s="46"/>
      <c r="O312" s="193"/>
      <c r="P312" s="558"/>
      <c r="Q312" s="193"/>
      <c r="R312" s="39"/>
      <c r="S312" s="39"/>
      <c r="T312" s="39"/>
      <c r="U312" s="39"/>
    </row>
    <row r="313" spans="2:25" ht="22.5" customHeight="1">
      <c r="B313" s="390" t="str">
        <f>IF(Contents!$B$2=2,"Percentage of employees under collective bargaining agreements","Доля работников, охваченных коллективным договором")</f>
        <v>Percentage of employees under collective bargaining agreements</v>
      </c>
      <c r="C313" s="49" t="s">
        <v>0</v>
      </c>
      <c r="D313" s="372" t="s">
        <v>185</v>
      </c>
      <c r="E313" s="372" t="s">
        <v>185</v>
      </c>
      <c r="F313" s="372">
        <v>97</v>
      </c>
      <c r="G313" s="372">
        <v>97</v>
      </c>
      <c r="H313" s="372">
        <v>93</v>
      </c>
      <c r="I313" s="379">
        <v>92</v>
      </c>
      <c r="J313" s="379">
        <v>91</v>
      </c>
      <c r="K313" s="379">
        <v>90</v>
      </c>
      <c r="L313" s="379">
        <v>89</v>
      </c>
      <c r="M313" s="379">
        <v>90</v>
      </c>
      <c r="N313" s="379">
        <v>83</v>
      </c>
      <c r="O313" s="869"/>
      <c r="P313" s="558" t="s">
        <v>183</v>
      </c>
      <c r="Q313" s="29"/>
      <c r="R313" s="39" t="s">
        <v>130</v>
      </c>
      <c r="S313" s="39"/>
      <c r="T313" s="39"/>
      <c r="U313" s="39" t="str">
        <f>IF(Contents!$B$2=2,"PBCS 33","СОКБ 33")</f>
        <v>PBCS 33</v>
      </c>
      <c r="W313" s="933">
        <v>2</v>
      </c>
    </row>
    <row r="314" spans="2:25">
      <c r="B314" s="387"/>
      <c r="C314" s="53"/>
      <c r="D314" s="46"/>
      <c r="E314" s="46"/>
      <c r="F314" s="46"/>
      <c r="G314" s="46"/>
      <c r="H314" s="46"/>
      <c r="I314" s="38"/>
      <c r="J314" s="46"/>
      <c r="K314" s="46"/>
      <c r="L314" s="46"/>
      <c r="M314" s="46"/>
      <c r="N314" s="46"/>
      <c r="O314" s="193"/>
      <c r="P314" s="558"/>
      <c r="Q314" s="193"/>
      <c r="R314" s="39"/>
      <c r="S314" s="39"/>
      <c r="T314" s="39"/>
      <c r="U314" s="39"/>
    </row>
    <row r="315" spans="2:25" ht="31.5" customHeight="1">
      <c r="B315" s="390" t="str">
        <f>IF(Contents!$B$2=2,"Expenses on social programs for employees","Расходы на социальные программы для работников")</f>
        <v>Expenses on social programs for employees</v>
      </c>
      <c r="C315" s="391" t="str">
        <f>IF(Contents!$B$2=2,"RR bln","млрд руб.")</f>
        <v>RR bln</v>
      </c>
      <c r="D315" s="643">
        <v>1.4</v>
      </c>
      <c r="E315" s="643">
        <v>1.3</v>
      </c>
      <c r="F315" s="643">
        <v>1.4</v>
      </c>
      <c r="G315" s="643">
        <v>1.4</v>
      </c>
      <c r="H315" s="643">
        <v>1.8</v>
      </c>
      <c r="I315" s="644">
        <v>1.6</v>
      </c>
      <c r="J315" s="644">
        <v>2.0430000000000001</v>
      </c>
      <c r="K315" s="644">
        <v>2.3439999999999999</v>
      </c>
      <c r="L315" s="644">
        <v>3.6360000000000001</v>
      </c>
      <c r="M315" s="644">
        <v>4.3780000000000001</v>
      </c>
      <c r="N315" s="644">
        <v>4.2380000000000004</v>
      </c>
      <c r="O315" s="879"/>
      <c r="P315" s="558"/>
      <c r="Q315" s="29"/>
      <c r="R315" s="39"/>
      <c r="S315" s="39"/>
      <c r="T315" s="39"/>
      <c r="U315" s="39" t="str">
        <f>IF(Contents!$B$2=2,"PBCS 28","СОКБ 28")</f>
        <v>PBCS 28</v>
      </c>
      <c r="W315" s="933">
        <v>2</v>
      </c>
    </row>
    <row r="316" spans="2:25" ht="31.5" customHeight="1">
      <c r="B316" s="392" t="str">
        <f>IF(Contents!$B$2=2,"Average expenses per employee (average headcount)","Расходы в среднем на одного работника (на среднесписочную численность)")</f>
        <v>Average expenses per employee (average headcount)</v>
      </c>
      <c r="C316" s="53" t="str">
        <f>IF(Contents!$B$2=2,"RR th.","тыс. руб.")</f>
        <v>RR th.</v>
      </c>
      <c r="D316" s="46" t="s">
        <v>185</v>
      </c>
      <c r="E316" s="46" t="s">
        <v>185</v>
      </c>
      <c r="F316" s="46">
        <v>120.06758089553263</v>
      </c>
      <c r="G316" s="46">
        <v>107.39490641301012</v>
      </c>
      <c r="H316" s="46">
        <v>125.77737404793515</v>
      </c>
      <c r="I316" s="46">
        <v>100.54040467512881</v>
      </c>
      <c r="J316" s="46">
        <v>115</v>
      </c>
      <c r="K316" s="46">
        <v>123</v>
      </c>
      <c r="L316" s="46">
        <v>181</v>
      </c>
      <c r="M316" s="46">
        <v>207</v>
      </c>
      <c r="N316" s="89">
        <v>187</v>
      </c>
      <c r="P316" s="558"/>
      <c r="Q316" s="29"/>
      <c r="U316" s="39" t="str">
        <f>IF(Contents!$B$2=2,"PBCS 28","СОКБ 28")</f>
        <v>PBCS 28</v>
      </c>
      <c r="W316" s="933">
        <v>2</v>
      </c>
    </row>
    <row r="317" spans="2:25" ht="39" customHeight="1">
      <c r="B317" s="393" t="str">
        <f>IF(Contents!$B$2=2,"Targeted compensation and social support payments","Программа целевых компенсаций и социально-значимых выплат")</f>
        <v>Targeted compensation and social support payments</v>
      </c>
      <c r="C317" s="53" t="str">
        <f>IF(Contents!$B$2=2,"RR mln","млн руб.")</f>
        <v>RR mln</v>
      </c>
      <c r="D317" s="46">
        <v>386.3</v>
      </c>
      <c r="E317" s="46">
        <v>573.9</v>
      </c>
      <c r="F317" s="46">
        <v>492.8</v>
      </c>
      <c r="G317" s="46">
        <v>503</v>
      </c>
      <c r="H317" s="46">
        <v>570</v>
      </c>
      <c r="I317" s="38">
        <v>683.7</v>
      </c>
      <c r="J317" s="38">
        <v>803</v>
      </c>
      <c r="K317" s="38">
        <v>847</v>
      </c>
      <c r="L317" s="38">
        <v>1137</v>
      </c>
      <c r="M317" s="38">
        <v>1233</v>
      </c>
      <c r="N317" s="89">
        <v>1394</v>
      </c>
      <c r="O317" s="394"/>
      <c r="P317" s="558" t="str">
        <f>IF(Contents!$B$2=2,"Yes","Да")</f>
        <v>Yes</v>
      </c>
      <c r="Q317" s="29"/>
      <c r="R317" s="39"/>
      <c r="S317" s="39"/>
      <c r="T317" s="39"/>
      <c r="U317" s="187"/>
      <c r="W317" s="933">
        <v>2</v>
      </c>
    </row>
    <row r="318" spans="2:25">
      <c r="B318" s="393" t="str">
        <f>IF(Contents!$B$2=2,"Voluntary medical insurance for employees","Добровольное медицинское страхование работников")</f>
        <v>Voluntary medical insurance for employees</v>
      </c>
      <c r="C318" s="53" t="str">
        <f>IF(Contents!$B$2=2,"RR mln","млн руб.")</f>
        <v>RR mln</v>
      </c>
      <c r="D318" s="46">
        <v>80</v>
      </c>
      <c r="E318" s="46">
        <v>125</v>
      </c>
      <c r="F318" s="46">
        <v>158</v>
      </c>
      <c r="G318" s="46">
        <v>178</v>
      </c>
      <c r="H318" s="46">
        <v>201</v>
      </c>
      <c r="I318" s="38">
        <v>236</v>
      </c>
      <c r="J318" s="38">
        <v>260</v>
      </c>
      <c r="K318" s="38">
        <v>301</v>
      </c>
      <c r="L318" s="38">
        <v>365</v>
      </c>
      <c r="M318" s="38">
        <v>550</v>
      </c>
      <c r="N318" s="89">
        <v>596</v>
      </c>
      <c r="O318" s="394"/>
      <c r="P318" s="558" t="str">
        <f>IF(Contents!$B$2=2,"Yes","Да")</f>
        <v>Yes</v>
      </c>
      <c r="Q318" s="29"/>
      <c r="R318" s="187"/>
      <c r="S318" s="39"/>
      <c r="T318" s="39"/>
      <c r="U318" s="187"/>
      <c r="W318" s="933">
        <v>2</v>
      </c>
    </row>
    <row r="319" spans="2:25" ht="22.5" customHeight="1">
      <c r="B319" s="393" t="str">
        <f>IF(Contents!$B$2=2,"Pension program","Пенсионная программа")</f>
        <v>Pension program</v>
      </c>
      <c r="C319" s="53" t="str">
        <f>IF(Contents!$B$2=2,"RR mln","млн руб.")</f>
        <v>RR mln</v>
      </c>
      <c r="D319" s="46">
        <v>40</v>
      </c>
      <c r="E319" s="46">
        <v>50</v>
      </c>
      <c r="F319" s="46">
        <v>68</v>
      </c>
      <c r="G319" s="46">
        <v>87</v>
      </c>
      <c r="H319" s="46">
        <v>104</v>
      </c>
      <c r="I319" s="38">
        <v>124</v>
      </c>
      <c r="J319" s="38">
        <v>139</v>
      </c>
      <c r="K319" s="38">
        <v>159</v>
      </c>
      <c r="L319" s="38">
        <v>214</v>
      </c>
      <c r="M319" s="38">
        <v>243</v>
      </c>
      <c r="N319" s="89">
        <v>292</v>
      </c>
      <c r="O319" s="394"/>
      <c r="P319" s="558" t="str">
        <f>IF(Contents!$B$2=2,"Yes","Да")</f>
        <v>Yes</v>
      </c>
      <c r="Q319" s="29"/>
      <c r="R319" s="39" t="s">
        <v>131</v>
      </c>
      <c r="S319" s="39"/>
      <c r="T319" s="39"/>
      <c r="U319" s="39" t="str">
        <f>IF(Contents!$B$2=2,"PBCS 88","СОКБ 88")</f>
        <v>PBCS 88</v>
      </c>
      <c r="W319" s="933">
        <v>2</v>
      </c>
    </row>
    <row r="320" spans="2:25" ht="22.5" customHeight="1">
      <c r="B320" s="393" t="str">
        <f>IF(Contents!$B$2=2,"State guarantees support","Программа обеспечения государственных гарантий")</f>
        <v>State guarantees support</v>
      </c>
      <c r="C320" s="53" t="str">
        <f>IF(Contents!$B$2=2,"RR mln","млн руб.")</f>
        <v>RR mln</v>
      </c>
      <c r="D320" s="46">
        <v>74</v>
      </c>
      <c r="E320" s="46">
        <v>87</v>
      </c>
      <c r="F320" s="46">
        <v>94</v>
      </c>
      <c r="G320" s="46">
        <v>106</v>
      </c>
      <c r="H320" s="46">
        <v>114</v>
      </c>
      <c r="I320" s="38">
        <v>86</v>
      </c>
      <c r="J320" s="38">
        <v>124</v>
      </c>
      <c r="K320" s="38">
        <v>130</v>
      </c>
      <c r="L320" s="38">
        <v>162</v>
      </c>
      <c r="M320" s="38">
        <v>186</v>
      </c>
      <c r="N320" s="89">
        <v>191</v>
      </c>
      <c r="O320" s="394"/>
      <c r="P320" s="558"/>
      <c r="Q320" s="29"/>
      <c r="R320" s="39"/>
      <c r="S320" s="39"/>
      <c r="T320" s="39"/>
      <c r="U320" s="39"/>
      <c r="W320" s="933">
        <v>2</v>
      </c>
    </row>
    <row r="321" spans="1:24" ht="22.5" customHeight="1">
      <c r="B321" s="393" t="str">
        <f>IF(Contents!$B$2=2,"Other programs","Прочие программы")</f>
        <v>Other programs</v>
      </c>
      <c r="C321" s="53" t="str">
        <f>IF(Contents!$B$2=2,"RR mln","млн руб.")</f>
        <v>RR mln</v>
      </c>
      <c r="D321" s="46" t="s">
        <v>185</v>
      </c>
      <c r="E321" s="46" t="s">
        <v>185</v>
      </c>
      <c r="F321" s="46" t="s">
        <v>185</v>
      </c>
      <c r="G321" s="46" t="s">
        <v>185</v>
      </c>
      <c r="H321" s="46" t="s">
        <v>185</v>
      </c>
      <c r="I321" s="38" t="s">
        <v>185</v>
      </c>
      <c r="J321" s="38">
        <v>717</v>
      </c>
      <c r="K321" s="38">
        <v>907</v>
      </c>
      <c r="L321" s="38">
        <v>1758</v>
      </c>
      <c r="M321" s="38">
        <v>2166</v>
      </c>
      <c r="N321" s="89">
        <v>1765</v>
      </c>
      <c r="O321" s="394"/>
      <c r="P321" s="558"/>
      <c r="Q321" s="29"/>
      <c r="R321" s="39"/>
      <c r="S321" s="39"/>
      <c r="T321" s="39"/>
      <c r="U321" s="39"/>
      <c r="W321" s="933">
        <v>2</v>
      </c>
    </row>
    <row r="322" spans="1:24">
      <c r="B322" s="393"/>
      <c r="C322" s="53"/>
      <c r="D322" s="46"/>
      <c r="E322" s="46"/>
      <c r="F322" s="46"/>
      <c r="G322" s="46"/>
      <c r="H322" s="46"/>
      <c r="I322" s="38"/>
      <c r="J322" s="38"/>
      <c r="K322" s="38"/>
      <c r="L322" s="38"/>
      <c r="M322" s="38"/>
      <c r="N322" s="38"/>
      <c r="O322" s="394"/>
      <c r="P322" s="558"/>
      <c r="Q322" s="394"/>
      <c r="R322" s="39"/>
      <c r="S322" s="39"/>
      <c r="T322" s="39"/>
      <c r="U322" s="39"/>
    </row>
    <row r="323" spans="1:24">
      <c r="B323" s="832" t="str">
        <f>IF(Contents!$B$2=2,"Number of employees covered by social programs","Количество работников, охваченных социальными программами")</f>
        <v>Number of employees covered by social programs</v>
      </c>
      <c r="C323" s="833"/>
      <c r="D323" s="46"/>
      <c r="E323" s="46"/>
      <c r="F323" s="46"/>
      <c r="G323" s="46"/>
      <c r="H323" s="46"/>
      <c r="I323" s="38"/>
      <c r="J323" s="38"/>
      <c r="K323" s="38"/>
      <c r="L323" s="38"/>
      <c r="M323" s="38"/>
      <c r="N323" s="38"/>
      <c r="O323" s="29"/>
      <c r="P323" s="558"/>
      <c r="Q323" s="29"/>
      <c r="R323" s="39"/>
      <c r="S323" s="39"/>
      <c r="T323" s="39"/>
      <c r="U323" s="39"/>
    </row>
    <row r="324" spans="1:24" ht="22.5" customHeight="1">
      <c r="B324" s="52" t="str">
        <f>IF(Contents!$B$2=2,"Number of pension program participants ","Количество участников пенсионной программы")</f>
        <v xml:space="preserve">Number of pension program participants </v>
      </c>
      <c r="C324" s="53" t="str">
        <f>IF(Contents!$B$2=2,"people"," человек")</f>
        <v>people</v>
      </c>
      <c r="D324" s="46">
        <v>661</v>
      </c>
      <c r="E324" s="46">
        <v>758</v>
      </c>
      <c r="F324" s="46">
        <v>866</v>
      </c>
      <c r="G324" s="46">
        <v>990</v>
      </c>
      <c r="H324" s="46">
        <v>1103</v>
      </c>
      <c r="I324" s="38">
        <v>1202</v>
      </c>
      <c r="J324" s="38">
        <v>1254</v>
      </c>
      <c r="K324" s="38">
        <v>1325</v>
      </c>
      <c r="L324" s="38">
        <v>1382</v>
      </c>
      <c r="M324" s="38">
        <v>1458</v>
      </c>
      <c r="N324" s="89">
        <v>1554</v>
      </c>
      <c r="O324" s="869"/>
      <c r="P324" s="558"/>
      <c r="Q324" s="394"/>
      <c r="R324" s="39"/>
      <c r="S324" s="39"/>
      <c r="T324" s="39"/>
      <c r="U324" s="39"/>
      <c r="W324" s="933">
        <v>1</v>
      </c>
    </row>
    <row r="325" spans="1:24" ht="26.45" customHeight="1">
      <c r="B325" s="52" t="str">
        <f>IF(Contents!$B$2=2,"Number of employees who used the State guarantees support program","Работники, воспользовавшихся Программой обеспечения государственных гарантий")</f>
        <v>Number of employees who used the State guarantees support program</v>
      </c>
      <c r="C325" s="53" t="str">
        <f>IF(Contents!$B$2=2,"people"," человек")</f>
        <v>people</v>
      </c>
      <c r="D325" s="46">
        <v>3343</v>
      </c>
      <c r="E325" s="46">
        <v>3553</v>
      </c>
      <c r="F325" s="46">
        <v>3834</v>
      </c>
      <c r="G325" s="46">
        <v>4184</v>
      </c>
      <c r="H325" s="46">
        <v>4526</v>
      </c>
      <c r="I325" s="38">
        <v>3585</v>
      </c>
      <c r="J325" s="38">
        <v>4723</v>
      </c>
      <c r="K325" s="38">
        <v>4517</v>
      </c>
      <c r="L325" s="38">
        <v>4958</v>
      </c>
      <c r="M325" s="38">
        <v>5063</v>
      </c>
      <c r="N325" s="89">
        <v>4944</v>
      </c>
      <c r="O325" s="879"/>
      <c r="P325" s="558"/>
      <c r="Q325" s="394"/>
      <c r="R325" s="39"/>
      <c r="S325" s="39"/>
      <c r="T325" s="39"/>
      <c r="U325" s="39"/>
      <c r="W325" s="933">
        <v>1</v>
      </c>
    </row>
    <row r="326" spans="1:24" ht="36">
      <c r="B326" s="52" t="str">
        <f>IF(Contents!$B$2=2,"Number of employees who used the Therapeutic resort treatment and rehabilitation program","Работники, воспользовавшихся Программой санаторно-курортного лечения и реабилитации")</f>
        <v>Number of employees who used the Therapeutic resort treatment and rehabilitation program</v>
      </c>
      <c r="C326" s="53" t="str">
        <f>IF(Contents!$B$2=2,"people"," человек")</f>
        <v>people</v>
      </c>
      <c r="D326" s="46">
        <v>1825</v>
      </c>
      <c r="E326" s="46">
        <v>3479</v>
      </c>
      <c r="F326" s="46">
        <v>3850</v>
      </c>
      <c r="G326" s="46">
        <v>4587</v>
      </c>
      <c r="H326" s="46">
        <v>5373</v>
      </c>
      <c r="I326" s="38">
        <v>2581</v>
      </c>
      <c r="J326" s="38">
        <v>6253</v>
      </c>
      <c r="K326" s="38">
        <v>6633</v>
      </c>
      <c r="L326" s="38">
        <v>8346</v>
      </c>
      <c r="M326" s="38">
        <v>9905</v>
      </c>
      <c r="N326" s="89">
        <v>10075</v>
      </c>
      <c r="O326" s="394"/>
      <c r="P326" s="558"/>
      <c r="Q326" s="394"/>
      <c r="R326" s="187"/>
      <c r="S326" s="39"/>
      <c r="T326" s="39"/>
      <c r="U326" s="39"/>
      <c r="W326" s="933">
        <v>1</v>
      </c>
    </row>
    <row r="327" spans="1:24" ht="22.5" customHeight="1">
      <c r="B327" s="78"/>
      <c r="C327" s="53"/>
      <c r="D327" s="46"/>
      <c r="E327" s="46"/>
      <c r="F327" s="46"/>
      <c r="G327" s="46"/>
      <c r="H327" s="46"/>
      <c r="I327" s="46"/>
      <c r="J327" s="38"/>
      <c r="K327" s="38"/>
      <c r="L327" s="38"/>
      <c r="M327" s="38"/>
      <c r="N327" s="38"/>
      <c r="O327" s="29"/>
      <c r="P327" s="558"/>
      <c r="Q327" s="29"/>
      <c r="R327" s="39"/>
      <c r="S327" s="39"/>
      <c r="T327" s="39"/>
      <c r="U327" s="39"/>
    </row>
    <row r="328" spans="1:24">
      <c r="B328" s="25" t="str">
        <f>IF(Contents!$B$2=2,"Notes:","Примечания: ")</f>
        <v>Notes:</v>
      </c>
      <c r="C328" s="61"/>
      <c r="D328" s="108"/>
      <c r="E328" s="108"/>
      <c r="F328" s="108"/>
      <c r="G328" s="108"/>
      <c r="H328" s="108"/>
      <c r="I328" s="108"/>
      <c r="J328" s="108"/>
      <c r="K328" s="108"/>
      <c r="L328" s="108"/>
      <c r="M328" s="108"/>
      <c r="N328" s="109"/>
      <c r="O328" s="38"/>
      <c r="P328" s="558"/>
      <c r="Q328" s="38"/>
      <c r="R328" s="39"/>
      <c r="S328" s="39"/>
      <c r="T328" s="39"/>
      <c r="U328" s="39"/>
    </row>
    <row r="329" spans="1:24">
      <c r="B329" s="65" t="str">
        <f>IF(Contents!$B$2=2,X329,W329)</f>
        <v>The program of targeted compensation and socially significant payments is aimed at providing targeted financial assistance to employees in certain life situations, including support for large families. Starting in 2025, the scope of support for large families will also include information on dependent companies.</v>
      </c>
      <c r="C329" s="301"/>
      <c r="D329" s="370"/>
      <c r="E329" s="370"/>
      <c r="F329" s="370"/>
      <c r="G329" s="370"/>
      <c r="H329" s="370"/>
      <c r="I329" s="370"/>
      <c r="J329" s="370"/>
      <c r="K329" s="370"/>
      <c r="L329" s="370"/>
      <c r="M329" s="370"/>
      <c r="N329" s="370"/>
      <c r="O329" s="29"/>
      <c r="P329" s="558"/>
      <c r="Q329" s="29"/>
      <c r="R329" s="39"/>
      <c r="S329" s="39"/>
      <c r="T329" s="39"/>
      <c r="U329" s="39"/>
      <c r="W329" s="936" t="s">
        <v>232</v>
      </c>
      <c r="X329" s="860" t="s">
        <v>233</v>
      </c>
    </row>
    <row r="330" spans="1:24" ht="22.5" customHeight="1">
      <c r="B330" s="65" t="str">
        <f>IF(Contents!$B$2=2,C331,B331)</f>
        <v>The program includes payments to support the families of employees, compensation for expenses on sports and recreation activities of employees, relocation and accommodation, financial assistance in the event of natural disasters and other difficult life situations.</v>
      </c>
      <c r="C330" s="53"/>
      <c r="D330" s="46"/>
      <c r="E330" s="46"/>
      <c r="F330" s="46"/>
      <c r="G330" s="46"/>
      <c r="H330" s="46"/>
      <c r="I330" s="38"/>
      <c r="J330" s="38"/>
      <c r="K330" s="38"/>
      <c r="L330" s="38"/>
      <c r="M330" s="38"/>
      <c r="N330" s="38"/>
      <c r="O330" s="394"/>
      <c r="P330" s="558"/>
      <c r="Q330" s="394"/>
      <c r="R330" s="629"/>
      <c r="S330" s="39"/>
      <c r="T330" s="39"/>
      <c r="U330" s="39"/>
    </row>
    <row r="331" spans="1:24" ht="17.45" customHeight="1">
      <c r="B331" s="114" t="s">
        <v>132</v>
      </c>
      <c r="C331" s="395" t="s">
        <v>133</v>
      </c>
      <c r="D331" s="370"/>
      <c r="E331" s="370"/>
      <c r="F331" s="370"/>
      <c r="G331" s="370"/>
      <c r="H331" s="370"/>
      <c r="I331" s="370"/>
      <c r="J331" s="370"/>
      <c r="K331" s="370"/>
      <c r="L331" s="370"/>
      <c r="M331" s="370"/>
      <c r="N331" s="370"/>
      <c r="O331" s="29"/>
      <c r="P331" s="558"/>
      <c r="Q331" s="29"/>
      <c r="R331" s="39"/>
      <c r="S331" s="39"/>
      <c r="T331" s="39"/>
      <c r="U331" s="39"/>
    </row>
    <row r="332" spans="1:24" ht="25.5" customHeight="1">
      <c r="A332" s="375"/>
      <c r="B332" s="390" t="str">
        <f>IF(Contents!$B$2=2,"Parental leave","Отпуск по уходу за ребенком")</f>
        <v>Parental leave</v>
      </c>
      <c r="C332" s="391"/>
      <c r="D332" s="372"/>
      <c r="E332" s="372"/>
      <c r="F332" s="372"/>
      <c r="G332" s="372"/>
      <c r="H332" s="372"/>
      <c r="I332" s="379"/>
      <c r="J332" s="379"/>
      <c r="K332" s="379"/>
      <c r="L332" s="379"/>
      <c r="M332" s="379"/>
      <c r="N332" s="379"/>
      <c r="O332" s="29"/>
      <c r="P332" s="558" t="str">
        <f>IF(Contents!$B$2=2,"Yes","Да")</f>
        <v>Yes</v>
      </c>
      <c r="Q332" s="29"/>
      <c r="R332" s="187" t="s">
        <v>134</v>
      </c>
      <c r="S332" s="39"/>
      <c r="T332" s="39"/>
      <c r="U332" s="39"/>
      <c r="W332" s="933">
        <v>1</v>
      </c>
    </row>
    <row r="333" spans="1:24" ht="22.5" customHeight="1">
      <c r="B333" s="396" t="str">
        <f>IF(Contents!$B$2=2,"Number of employees who went on parental leave during the year","Количество работников, которые в течение года ушли в декрет")</f>
        <v>Number of employees who went on parental leave during the year</v>
      </c>
      <c r="C333" s="53" t="str">
        <f>IF(Contents!$B$2=2,"people"," человек")</f>
        <v>people</v>
      </c>
      <c r="D333" s="46" t="s">
        <v>185</v>
      </c>
      <c r="E333" s="46" t="s">
        <v>185</v>
      </c>
      <c r="F333" s="46">
        <v>133</v>
      </c>
      <c r="G333" s="46">
        <v>145</v>
      </c>
      <c r="H333" s="46">
        <v>146</v>
      </c>
      <c r="I333" s="46">
        <v>148</v>
      </c>
      <c r="J333" s="46">
        <v>164</v>
      </c>
      <c r="K333" s="46">
        <v>154</v>
      </c>
      <c r="L333" s="46">
        <v>161</v>
      </c>
      <c r="M333" s="46">
        <v>142</v>
      </c>
      <c r="N333" s="104">
        <v>191</v>
      </c>
      <c r="O333" s="879"/>
      <c r="P333" s="558" t="str">
        <f>IF(Contents!$B$2=2,"Yes","Да")</f>
        <v>Yes</v>
      </c>
      <c r="Q333" s="29"/>
      <c r="R333" s="187"/>
      <c r="S333" s="39"/>
      <c r="T333" s="39"/>
      <c r="U333" s="39"/>
      <c r="W333" s="933">
        <v>1</v>
      </c>
    </row>
    <row r="334" spans="1:24" ht="22.5" customHeight="1">
      <c r="B334" s="93" t="str">
        <f>IF(Contents!$B$2=2,"Male","Мужчины")</f>
        <v>Male</v>
      </c>
      <c r="C334" s="53" t="str">
        <f>IF(Contents!$B$2=2,"people"," человек")</f>
        <v>people</v>
      </c>
      <c r="D334" s="46" t="s">
        <v>185</v>
      </c>
      <c r="E334" s="46" t="s">
        <v>185</v>
      </c>
      <c r="F334" s="46">
        <v>2</v>
      </c>
      <c r="G334" s="46">
        <v>5</v>
      </c>
      <c r="H334" s="46">
        <v>6</v>
      </c>
      <c r="I334" s="38">
        <v>8</v>
      </c>
      <c r="J334" s="38">
        <v>12</v>
      </c>
      <c r="K334" s="38">
        <v>16</v>
      </c>
      <c r="L334" s="38">
        <v>12</v>
      </c>
      <c r="M334" s="38">
        <v>15</v>
      </c>
      <c r="N334" s="89">
        <v>29</v>
      </c>
      <c r="O334" s="879"/>
      <c r="P334" s="558" t="str">
        <f>IF(Contents!$B$2=2,"Yes","Да")</f>
        <v>Yes</v>
      </c>
      <c r="Q334" s="29"/>
      <c r="R334" s="187"/>
      <c r="S334" s="39"/>
      <c r="T334" s="39"/>
      <c r="U334" s="39"/>
      <c r="W334" s="933">
        <v>1</v>
      </c>
    </row>
    <row r="335" spans="1:24" ht="22.5" customHeight="1">
      <c r="B335" s="93" t="str">
        <f>IF(Contents!$B$2=2,"Female","Женщины")</f>
        <v>Female</v>
      </c>
      <c r="C335" s="53" t="str">
        <f>IF(Contents!$B$2=2,"people"," человек")</f>
        <v>people</v>
      </c>
      <c r="D335" s="46" t="s">
        <v>185</v>
      </c>
      <c r="E335" s="46" t="s">
        <v>185</v>
      </c>
      <c r="F335" s="46">
        <v>131</v>
      </c>
      <c r="G335" s="46">
        <v>140</v>
      </c>
      <c r="H335" s="46">
        <v>140</v>
      </c>
      <c r="I335" s="38">
        <v>140</v>
      </c>
      <c r="J335" s="38">
        <v>152</v>
      </c>
      <c r="K335" s="38">
        <v>138</v>
      </c>
      <c r="L335" s="38">
        <v>149</v>
      </c>
      <c r="M335" s="38">
        <v>127</v>
      </c>
      <c r="N335" s="89">
        <v>162</v>
      </c>
      <c r="O335" s="879"/>
      <c r="P335" s="558" t="str">
        <f>IF(Contents!$B$2=2,"Yes","Да")</f>
        <v>Yes</v>
      </c>
      <c r="Q335" s="29"/>
      <c r="R335" s="39"/>
      <c r="S335" s="39"/>
      <c r="T335" s="39"/>
      <c r="U335" s="39"/>
      <c r="W335" s="933">
        <v>1</v>
      </c>
    </row>
    <row r="336" spans="1:24" ht="47.1" customHeight="1">
      <c r="B336" s="52" t="str">
        <f>IF(Contents!$B$2=2,"Number of employees who returned to work during the year after parental leave","Количество работников, которые в течение года вернулись на работу после декрета")</f>
        <v>Number of employees who returned to work during the year after parental leave</v>
      </c>
      <c r="C336" s="53" t="str">
        <f>IF(Contents!$B$2=2,"people"," человек")</f>
        <v>people</v>
      </c>
      <c r="D336" s="46" t="s">
        <v>185</v>
      </c>
      <c r="E336" s="46" t="s">
        <v>185</v>
      </c>
      <c r="F336" s="46" t="s">
        <v>185</v>
      </c>
      <c r="G336" s="46" t="s">
        <v>185</v>
      </c>
      <c r="H336" s="46" t="s">
        <v>185</v>
      </c>
      <c r="I336" s="38" t="s">
        <v>185</v>
      </c>
      <c r="J336" s="38">
        <v>110</v>
      </c>
      <c r="K336" s="38">
        <v>117</v>
      </c>
      <c r="L336" s="38">
        <v>114</v>
      </c>
      <c r="M336" s="38">
        <v>99</v>
      </c>
      <c r="N336" s="89">
        <v>115</v>
      </c>
      <c r="O336" s="879"/>
      <c r="P336" s="558" t="str">
        <f>IF(Contents!$B$2=2,"Yes","Да")</f>
        <v>Yes</v>
      </c>
      <c r="Q336" s="29"/>
      <c r="R336" s="187"/>
      <c r="S336" s="39"/>
      <c r="T336" s="39"/>
      <c r="U336" s="39"/>
      <c r="W336" s="933">
        <v>1</v>
      </c>
    </row>
    <row r="337" spans="2:23" ht="22.5" customHeight="1">
      <c r="B337" s="93" t="str">
        <f>IF(Contents!$B$2=2,"Male","Мужчины")</f>
        <v>Male</v>
      </c>
      <c r="C337" s="53" t="str">
        <f>IF(Contents!$B$2=2,"people"," человек")</f>
        <v>people</v>
      </c>
      <c r="D337" s="46" t="s">
        <v>185</v>
      </c>
      <c r="E337" s="46" t="s">
        <v>185</v>
      </c>
      <c r="F337" s="46" t="s">
        <v>185</v>
      </c>
      <c r="G337" s="46" t="s">
        <v>185</v>
      </c>
      <c r="H337" s="46" t="s">
        <v>185</v>
      </c>
      <c r="I337" s="38" t="s">
        <v>185</v>
      </c>
      <c r="J337" s="38">
        <v>8</v>
      </c>
      <c r="K337" s="38">
        <v>7</v>
      </c>
      <c r="L337" s="38">
        <v>10</v>
      </c>
      <c r="M337" s="38">
        <v>9</v>
      </c>
      <c r="N337" s="89">
        <v>14</v>
      </c>
      <c r="O337" s="879"/>
      <c r="P337" s="558" t="str">
        <f>IF(Contents!$B$2=2,"Yes","Да")</f>
        <v>Yes</v>
      </c>
      <c r="Q337" s="29"/>
      <c r="R337" s="187"/>
      <c r="S337" s="39"/>
      <c r="T337" s="39"/>
      <c r="U337" s="39"/>
      <c r="W337" s="933">
        <v>1</v>
      </c>
    </row>
    <row r="338" spans="2:23" ht="22.5" customHeight="1">
      <c r="B338" s="93" t="str">
        <f>IF(Contents!$B$2=2,"Female","Женщины")</f>
        <v>Female</v>
      </c>
      <c r="C338" s="53" t="str">
        <f>IF(Contents!$B$2=2,"people"," человек")</f>
        <v>people</v>
      </c>
      <c r="D338" s="46" t="s">
        <v>185</v>
      </c>
      <c r="E338" s="46" t="s">
        <v>185</v>
      </c>
      <c r="F338" s="46" t="s">
        <v>185</v>
      </c>
      <c r="G338" s="46" t="s">
        <v>185</v>
      </c>
      <c r="H338" s="46" t="s">
        <v>185</v>
      </c>
      <c r="I338" s="38" t="s">
        <v>185</v>
      </c>
      <c r="J338" s="38">
        <v>102</v>
      </c>
      <c r="K338" s="38">
        <v>110</v>
      </c>
      <c r="L338" s="38">
        <v>104</v>
      </c>
      <c r="M338" s="38">
        <v>90</v>
      </c>
      <c r="N338" s="89">
        <v>101</v>
      </c>
      <c r="O338" s="879"/>
      <c r="P338" s="558" t="str">
        <f>IF(Contents!$B$2=2,"Yes","Да")</f>
        <v>Yes</v>
      </c>
      <c r="Q338" s="29"/>
      <c r="R338" s="39"/>
      <c r="S338" s="39"/>
      <c r="T338" s="39"/>
      <c r="U338" s="39"/>
      <c r="W338" s="933">
        <v>1</v>
      </c>
    </row>
    <row r="339" spans="2:23">
      <c r="B339" s="301"/>
      <c r="C339" s="301"/>
      <c r="D339" s="370"/>
      <c r="E339" s="370"/>
      <c r="F339" s="370"/>
      <c r="G339" s="370"/>
      <c r="H339" s="370"/>
      <c r="I339" s="370"/>
      <c r="J339" s="370"/>
      <c r="K339" s="370"/>
      <c r="L339" s="370"/>
      <c r="M339" s="370"/>
      <c r="N339" s="370"/>
      <c r="O339" s="29"/>
      <c r="P339" s="558"/>
      <c r="Q339" s="29"/>
      <c r="R339" s="39"/>
      <c r="S339" s="39"/>
      <c r="T339" s="39"/>
      <c r="U339" s="39"/>
    </row>
    <row r="340" spans="2:23" ht="20.100000000000001" customHeight="1">
      <c r="B340" s="45" t="str">
        <f>IF(Contents!$B$2=2,"Expenses on compensation","Расходы на выплату вознаграждений работникам")</f>
        <v>Expenses on compensation</v>
      </c>
      <c r="C340" s="105"/>
      <c r="D340" s="106"/>
      <c r="E340" s="106"/>
      <c r="F340" s="106"/>
      <c r="G340" s="106"/>
      <c r="H340" s="106"/>
      <c r="I340" s="363"/>
      <c r="J340" s="363"/>
      <c r="K340" s="363"/>
      <c r="L340" s="363"/>
      <c r="M340" s="363"/>
      <c r="N340" s="363"/>
      <c r="O340" s="40"/>
      <c r="P340" s="558"/>
      <c r="Q340" s="40"/>
      <c r="R340" s="39"/>
      <c r="S340" s="39"/>
      <c r="T340" s="39"/>
      <c r="U340" s="39"/>
    </row>
    <row r="341" spans="2:23" ht="48" customHeight="1">
      <c r="B341" s="398" t="str">
        <f>IF(Contents!$B$2=2,"Expenses on compensation","Расходы на выплату вознаграждений работникам")</f>
        <v>Expenses on compensation</v>
      </c>
      <c r="C341" s="399" t="str">
        <f>IF(Contents!$B$2=2,"RR bln","млрд руб.")</f>
        <v>RR bln</v>
      </c>
      <c r="D341" s="400" t="s">
        <v>185</v>
      </c>
      <c r="E341" s="400" t="s">
        <v>185</v>
      </c>
      <c r="F341" s="400" t="s">
        <v>185</v>
      </c>
      <c r="G341" s="400" t="s">
        <v>185</v>
      </c>
      <c r="H341" s="400" t="s">
        <v>185</v>
      </c>
      <c r="I341" s="400" t="s">
        <v>185</v>
      </c>
      <c r="J341" s="400" t="s">
        <v>185</v>
      </c>
      <c r="K341" s="400" t="s">
        <v>185</v>
      </c>
      <c r="L341" s="401">
        <v>62.9</v>
      </c>
      <c r="M341" s="401">
        <v>67.3</v>
      </c>
      <c r="N341" s="401">
        <v>82.3</v>
      </c>
      <c r="O341" s="29"/>
      <c r="P341" s="558"/>
      <c r="Q341" s="29"/>
      <c r="S341" s="39"/>
      <c r="T341" s="39"/>
      <c r="U341" s="39" t="str">
        <f>IF(Contents!$B$2=2,"PBCS 19","СОКБ 19")</f>
        <v>PBCS 19</v>
      </c>
      <c r="W341" s="933">
        <v>3</v>
      </c>
    </row>
    <row r="342" spans="2:23" ht="22.5" customHeight="1">
      <c r="B342" s="402"/>
      <c r="C342" s="53"/>
      <c r="D342" s="46"/>
      <c r="E342" s="46"/>
      <c r="F342" s="46"/>
      <c r="G342" s="46"/>
      <c r="H342" s="46"/>
      <c r="I342" s="38"/>
      <c r="J342" s="38"/>
      <c r="K342" s="38"/>
      <c r="L342" s="38"/>
      <c r="M342" s="38"/>
      <c r="N342" s="38"/>
      <c r="O342" s="38"/>
      <c r="P342" s="558"/>
      <c r="Q342" s="38"/>
      <c r="R342" s="39"/>
      <c r="S342" s="39"/>
      <c r="T342" s="39"/>
      <c r="U342" s="39"/>
    </row>
    <row r="343" spans="2:23" ht="22.5" customHeight="1">
      <c r="B343" s="371" t="str">
        <f>IF(Contents!$B$2=2,"Minimum compensation","Минимальная оплата труда")</f>
        <v>Minimum compensation</v>
      </c>
      <c r="C343" s="391"/>
      <c r="D343" s="403"/>
      <c r="E343" s="403"/>
      <c r="F343" s="403"/>
      <c r="G343" s="403"/>
      <c r="H343" s="403"/>
      <c r="I343" s="404"/>
      <c r="J343" s="403"/>
      <c r="K343" s="403"/>
      <c r="L343" s="403"/>
      <c r="M343" s="403"/>
      <c r="N343" s="403"/>
      <c r="O343" s="37"/>
      <c r="P343" s="558" t="str">
        <f>IF(Contents!$B$2=2,"Yes","Да")</f>
        <v>Yes</v>
      </c>
      <c r="Q343" s="37"/>
      <c r="R343" s="39" t="s">
        <v>135</v>
      </c>
      <c r="S343" s="39"/>
      <c r="T343" s="39"/>
      <c r="U343" s="39"/>
      <c r="W343" s="933">
        <v>1</v>
      </c>
    </row>
    <row r="344" spans="2:23" ht="22.5" customHeight="1">
      <c r="B344" s="396" t="str">
        <f>IF(Contents!$B$2=2,"Minimum salary in the Company","Минимальный оклад в Компании")</f>
        <v>Minimum salary in the Company</v>
      </c>
      <c r="C344" s="53"/>
      <c r="D344" s="46"/>
      <c r="E344" s="46"/>
      <c r="F344" s="46"/>
      <c r="G344" s="46"/>
      <c r="H344" s="46"/>
      <c r="I344" s="38"/>
      <c r="J344" s="38"/>
      <c r="K344" s="38"/>
      <c r="L344" s="38"/>
      <c r="M344" s="38"/>
      <c r="N344" s="89"/>
      <c r="O344" s="38"/>
      <c r="P344" s="558"/>
      <c r="Q344" s="38"/>
      <c r="R344" s="39"/>
      <c r="S344" s="39"/>
      <c r="T344" s="39"/>
      <c r="U344" s="39"/>
    </row>
    <row r="345" spans="2:23" ht="22.5" customHeight="1">
      <c r="B345" s="78" t="str">
        <f>IF(Contents!$B$2=2,"Moscow","Москва")</f>
        <v>Moscow</v>
      </c>
      <c r="C345" s="53" t="str">
        <f>IF(Contents!$B$2=2,"RR","руб.")</f>
        <v>RR</v>
      </c>
      <c r="D345" s="46">
        <v>28500</v>
      </c>
      <c r="E345" s="46">
        <v>30500</v>
      </c>
      <c r="F345" s="46">
        <v>38236</v>
      </c>
      <c r="G345" s="46">
        <v>39765</v>
      </c>
      <c r="H345" s="46">
        <v>41753</v>
      </c>
      <c r="I345" s="38">
        <v>41753</v>
      </c>
      <c r="J345" s="38">
        <v>45511</v>
      </c>
      <c r="K345" s="38">
        <v>56403</v>
      </c>
      <c r="L345" s="38">
        <v>60915</v>
      </c>
      <c r="M345" s="38">
        <v>63961</v>
      </c>
      <c r="N345" s="89">
        <v>69398</v>
      </c>
      <c r="O345" s="38"/>
      <c r="P345" s="558" t="str">
        <f>IF(Contents!$B$2=2,"Yes","Да")</f>
        <v>Yes</v>
      </c>
      <c r="Q345" s="38"/>
      <c r="R345" s="39"/>
      <c r="S345" s="39"/>
      <c r="T345" s="39"/>
      <c r="U345" s="39"/>
      <c r="W345" s="933">
        <v>1</v>
      </c>
    </row>
    <row r="346" spans="2:23" ht="22.5" customHeight="1">
      <c r="B346" s="177" t="str">
        <f>IF(Contents!$B$2=2,"Yamal-Nenets Autonomous Region","Ямало-Ненецкий автономный округ")</f>
        <v>Yamal-Nenets Autonomous Region</v>
      </c>
      <c r="C346" s="53"/>
      <c r="D346" s="46"/>
      <c r="E346" s="46"/>
      <c r="F346" s="46"/>
      <c r="G346" s="46"/>
      <c r="H346" s="46"/>
      <c r="I346" s="38"/>
      <c r="J346" s="38"/>
      <c r="K346" s="38"/>
      <c r="L346" s="38"/>
      <c r="M346" s="38"/>
      <c r="N346" s="89"/>
      <c r="O346" s="38"/>
      <c r="P346" s="558" t="str">
        <f>IF(Contents!$B$2=2,"Yes","Да")</f>
        <v>Yes</v>
      </c>
      <c r="Q346" s="38"/>
      <c r="R346" s="39"/>
      <c r="S346" s="39"/>
      <c r="T346" s="39"/>
      <c r="U346" s="39"/>
      <c r="W346" s="933">
        <v>1</v>
      </c>
    </row>
    <row r="347" spans="2:23" ht="22.5" customHeight="1">
      <c r="B347" s="285" t="str">
        <f>IF(Contents!$B$2=2,"Male","Мужчины")</f>
        <v>Male</v>
      </c>
      <c r="C347" s="53" t="str">
        <f>IF(Contents!$B$2=2,"RR","руб.")</f>
        <v>RR</v>
      </c>
      <c r="D347" s="46" t="s">
        <v>185</v>
      </c>
      <c r="E347" s="46" t="s">
        <v>185</v>
      </c>
      <c r="F347" s="46" t="s">
        <v>185</v>
      </c>
      <c r="G347" s="46" t="s">
        <v>185</v>
      </c>
      <c r="H347" s="46" t="s">
        <v>185</v>
      </c>
      <c r="I347" s="38" t="s">
        <v>185</v>
      </c>
      <c r="J347" s="38" t="s">
        <v>185</v>
      </c>
      <c r="K347" s="38">
        <v>30050</v>
      </c>
      <c r="L347" s="38">
        <v>26946</v>
      </c>
      <c r="M347" s="38">
        <v>28294</v>
      </c>
      <c r="N347" s="89">
        <v>30699</v>
      </c>
      <c r="O347" s="38"/>
      <c r="P347" s="558" t="str">
        <f>IF(Contents!$B$2=2,"Yes","Да")</f>
        <v>Yes</v>
      </c>
      <c r="Q347" s="38"/>
      <c r="R347" s="39"/>
      <c r="S347" s="39"/>
      <c r="T347" s="39"/>
      <c r="U347" s="39"/>
      <c r="W347" s="933">
        <v>1</v>
      </c>
    </row>
    <row r="348" spans="2:23" ht="22.5" customHeight="1">
      <c r="B348" s="285" t="str">
        <f>IF(Contents!$B$2=2,"Female","Женщины")</f>
        <v>Female</v>
      </c>
      <c r="C348" s="53" t="str">
        <f>IF(Contents!$B$2=2,"RR","руб.")</f>
        <v>RR</v>
      </c>
      <c r="D348" s="38" t="s">
        <v>185</v>
      </c>
      <c r="E348" s="38" t="s">
        <v>185</v>
      </c>
      <c r="F348" s="38" t="s">
        <v>185</v>
      </c>
      <c r="G348" s="38" t="s">
        <v>185</v>
      </c>
      <c r="H348" s="38" t="s">
        <v>185</v>
      </c>
      <c r="I348" s="38" t="s">
        <v>185</v>
      </c>
      <c r="J348" s="38" t="s">
        <v>185</v>
      </c>
      <c r="K348" s="38">
        <v>16900</v>
      </c>
      <c r="L348" s="38">
        <v>23430</v>
      </c>
      <c r="M348" s="38">
        <v>24601</v>
      </c>
      <c r="N348" s="89">
        <v>26693</v>
      </c>
      <c r="O348" s="38"/>
      <c r="P348" s="558" t="str">
        <f>IF(Contents!$B$2=2,"Yes","Да")</f>
        <v>Yes</v>
      </c>
      <c r="Q348" s="38"/>
      <c r="R348" s="39"/>
      <c r="S348" s="39"/>
      <c r="T348" s="39"/>
      <c r="U348" s="39"/>
      <c r="W348" s="933">
        <v>1</v>
      </c>
    </row>
    <row r="349" spans="2:23" ht="22.5" customHeight="1">
      <c r="B349" s="396" t="str">
        <f>IF(Contents!$B$2=2,"Minimum wage in the region","Минимальный размер оплаты труда (МРОТ) в регионе")</f>
        <v>Minimum wage in the region</v>
      </c>
      <c r="C349" s="53"/>
      <c r="D349" s="38"/>
      <c r="E349" s="38"/>
      <c r="F349" s="38"/>
      <c r="G349" s="38"/>
      <c r="H349" s="38"/>
      <c r="I349" s="38"/>
      <c r="J349" s="38"/>
      <c r="K349" s="38"/>
      <c r="L349" s="38"/>
      <c r="M349" s="38"/>
      <c r="N349" s="89"/>
      <c r="O349" s="38"/>
      <c r="P349" s="558" t="str">
        <f>IF(Contents!$B$2=2,"Yes","Да")</f>
        <v>Yes</v>
      </c>
      <c r="Q349" s="38"/>
      <c r="R349" s="39"/>
      <c r="S349" s="39"/>
      <c r="T349" s="39"/>
      <c r="U349" s="39"/>
      <c r="W349" s="933">
        <v>1</v>
      </c>
    </row>
    <row r="350" spans="2:23" ht="22.5" customHeight="1">
      <c r="B350" s="78" t="str">
        <f>IF(Contents!$B$2=2,"Moscow","Москва")</f>
        <v>Moscow</v>
      </c>
      <c r="C350" s="53" t="str">
        <f>IF(Contents!$B$2=2,"RR","руб.")</f>
        <v>RR</v>
      </c>
      <c r="D350" s="38" t="s">
        <v>185</v>
      </c>
      <c r="E350" s="38" t="s">
        <v>185</v>
      </c>
      <c r="F350" s="38" t="s">
        <v>185</v>
      </c>
      <c r="G350" s="38" t="s">
        <v>185</v>
      </c>
      <c r="H350" s="38" t="s">
        <v>185</v>
      </c>
      <c r="I350" s="38" t="s">
        <v>185</v>
      </c>
      <c r="J350" s="38" t="s">
        <v>185</v>
      </c>
      <c r="K350" s="38">
        <v>23508</v>
      </c>
      <c r="L350" s="38">
        <v>24801</v>
      </c>
      <c r="M350" s="38">
        <v>29389</v>
      </c>
      <c r="N350" s="89">
        <v>32916</v>
      </c>
      <c r="O350" s="38"/>
      <c r="P350" s="558" t="str">
        <f>IF(Contents!$B$2=2,"Yes","Да")</f>
        <v>Yes</v>
      </c>
      <c r="Q350" s="38"/>
      <c r="R350" s="39"/>
      <c r="S350" s="39"/>
      <c r="T350" s="39"/>
      <c r="U350" s="39"/>
      <c r="W350" s="933">
        <v>1</v>
      </c>
    </row>
    <row r="351" spans="2:23" ht="22.5" customHeight="1">
      <c r="B351" s="177" t="str">
        <f>IF(Contents!$B$2=2,"Yamal-Nenets Autonomous Region","Ямало-Ненецкий автономный округ")</f>
        <v>Yamal-Nenets Autonomous Region</v>
      </c>
      <c r="C351" s="53" t="str">
        <f>IF(Contents!$B$2=2,"RR","руб.")</f>
        <v>RR</v>
      </c>
      <c r="D351" s="38" t="s">
        <v>185</v>
      </c>
      <c r="E351" s="38" t="s">
        <v>185</v>
      </c>
      <c r="F351" s="38" t="s">
        <v>185</v>
      </c>
      <c r="G351" s="38" t="s">
        <v>185</v>
      </c>
      <c r="H351" s="38" t="s">
        <v>185</v>
      </c>
      <c r="I351" s="38" t="s">
        <v>185</v>
      </c>
      <c r="J351" s="38" t="s">
        <v>185</v>
      </c>
      <c r="K351" s="38">
        <v>15279</v>
      </c>
      <c r="L351" s="38">
        <v>16242</v>
      </c>
      <c r="M351" s="38">
        <v>19242</v>
      </c>
      <c r="N351" s="89">
        <v>22440</v>
      </c>
      <c r="O351" s="38"/>
      <c r="P351" s="558" t="str">
        <f>IF(Contents!$B$2=2,"Yes","Да")</f>
        <v>Yes</v>
      </c>
      <c r="Q351" s="38"/>
      <c r="R351" s="39"/>
      <c r="S351" s="39"/>
      <c r="T351" s="39"/>
      <c r="U351" s="39"/>
      <c r="W351" s="933">
        <v>1</v>
      </c>
    </row>
    <row r="352" spans="2:23" ht="22.5" customHeight="1">
      <c r="B352" s="396" t="str">
        <f>IF(Contents!$B$2=2,"Ratio of the Company's minimum salary to the minimum wage in the region","Отношение минимального оклада в Компании к МРОТ в регионе")</f>
        <v>Ratio of the Company's minimum salary to the minimum wage in the region</v>
      </c>
      <c r="C352" s="53"/>
      <c r="D352" s="38"/>
      <c r="E352" s="38"/>
      <c r="F352" s="38"/>
      <c r="G352" s="38"/>
      <c r="H352" s="38"/>
      <c r="I352" s="38"/>
      <c r="J352" s="38"/>
      <c r="K352" s="38"/>
      <c r="L352" s="38"/>
      <c r="M352" s="38"/>
      <c r="N352" s="89"/>
      <c r="O352" s="38"/>
      <c r="P352" s="558" t="str">
        <f>IF(Contents!$B$2=2,"Yes","Да")</f>
        <v>Yes</v>
      </c>
      <c r="Q352" s="38"/>
      <c r="R352" s="39"/>
      <c r="S352" s="39"/>
      <c r="T352" s="39"/>
      <c r="U352" s="39"/>
      <c r="W352" s="933">
        <v>1</v>
      </c>
    </row>
    <row r="353" spans="1:25" ht="22.5" customHeight="1">
      <c r="B353" s="78" t="str">
        <f>IF(Contents!$B$2=2,"Moscow","Москва")</f>
        <v>Moscow</v>
      </c>
      <c r="C353" s="53" t="s">
        <v>136</v>
      </c>
      <c r="D353" s="38" t="s">
        <v>185</v>
      </c>
      <c r="E353" s="38" t="s">
        <v>185</v>
      </c>
      <c r="F353" s="38" t="s">
        <v>185</v>
      </c>
      <c r="G353" s="38" t="s">
        <v>185</v>
      </c>
      <c r="H353" s="38" t="s">
        <v>185</v>
      </c>
      <c r="I353" s="38" t="s">
        <v>185</v>
      </c>
      <c r="J353" s="38" t="s">
        <v>185</v>
      </c>
      <c r="K353" s="405">
        <v>2.399310872894334</v>
      </c>
      <c r="L353" s="405">
        <v>2.4561509616547719</v>
      </c>
      <c r="M353" s="405">
        <v>2.1763585014801454</v>
      </c>
      <c r="N353" s="94">
        <v>2.1083363713695467</v>
      </c>
      <c r="O353" s="38"/>
      <c r="P353" s="558" t="str">
        <f>IF(Contents!$B$2=2,"Yes","Да")</f>
        <v>Yes</v>
      </c>
      <c r="Q353" s="38"/>
      <c r="R353" s="39"/>
      <c r="S353" s="39"/>
      <c r="T353" s="39"/>
      <c r="U353" s="39"/>
      <c r="W353" s="933">
        <v>1</v>
      </c>
    </row>
    <row r="354" spans="1:25">
      <c r="B354" s="177" t="str">
        <f>IF(Contents!$B$2=2,"Yamal-Nenets Autonomous Region","Ямало-Ненецкий автономный округ")</f>
        <v>Yamal-Nenets Autonomous Region</v>
      </c>
      <c r="C354" s="53"/>
      <c r="D354" s="38"/>
      <c r="E354" s="38"/>
      <c r="F354" s="38"/>
      <c r="G354" s="38"/>
      <c r="H354" s="38"/>
      <c r="I354" s="38"/>
      <c r="J354" s="38"/>
      <c r="K354" s="38"/>
      <c r="L354" s="38"/>
      <c r="M354" s="38"/>
      <c r="N354" s="94"/>
      <c r="O354" s="38"/>
      <c r="P354" s="558" t="str">
        <f>IF(Contents!$B$2=2,"Yes","Да")</f>
        <v>Yes</v>
      </c>
      <c r="Q354" s="38"/>
      <c r="R354" s="39"/>
      <c r="S354" s="39"/>
      <c r="T354" s="39"/>
      <c r="U354" s="39"/>
      <c r="W354" s="933">
        <v>1</v>
      </c>
    </row>
    <row r="355" spans="1:25">
      <c r="B355" s="285" t="str">
        <f>IF(Contents!$B$2=2,"Male","Мужчины")</f>
        <v>Male</v>
      </c>
      <c r="C355" s="53" t="s">
        <v>136</v>
      </c>
      <c r="D355" s="38" t="s">
        <v>185</v>
      </c>
      <c r="E355" s="38" t="s">
        <v>185</v>
      </c>
      <c r="F355" s="38" t="s">
        <v>185</v>
      </c>
      <c r="G355" s="38" t="s">
        <v>185</v>
      </c>
      <c r="H355" s="38" t="s">
        <v>185</v>
      </c>
      <c r="I355" s="38" t="s">
        <v>185</v>
      </c>
      <c r="J355" s="38" t="s">
        <v>185</v>
      </c>
      <c r="K355" s="405">
        <v>1.9667517507690293</v>
      </c>
      <c r="L355" s="405">
        <v>1.6590321388991502</v>
      </c>
      <c r="M355" s="405">
        <v>1.4704292693067249</v>
      </c>
      <c r="N355" s="94">
        <v>1.3680481283422461</v>
      </c>
      <c r="O355" s="38"/>
      <c r="P355" s="558" t="str">
        <f>IF(Contents!$B$2=2,"Yes","Да")</f>
        <v>Yes</v>
      </c>
      <c r="Q355" s="38"/>
      <c r="R355" s="39"/>
      <c r="S355" s="39"/>
      <c r="T355" s="39"/>
      <c r="U355" s="39"/>
      <c r="W355" s="933">
        <v>1</v>
      </c>
    </row>
    <row r="356" spans="1:25">
      <c r="B356" s="285" t="str">
        <f>IF(Contents!$B$2=2,"Female","Женщины")</f>
        <v>Female</v>
      </c>
      <c r="C356" s="53" t="s">
        <v>136</v>
      </c>
      <c r="D356" s="38" t="s">
        <v>185</v>
      </c>
      <c r="E356" s="38" t="s">
        <v>185</v>
      </c>
      <c r="F356" s="38" t="s">
        <v>185</v>
      </c>
      <c r="G356" s="38" t="s">
        <v>185</v>
      </c>
      <c r="H356" s="38" t="s">
        <v>185</v>
      </c>
      <c r="I356" s="38" t="s">
        <v>185</v>
      </c>
      <c r="J356" s="38" t="s">
        <v>185</v>
      </c>
      <c r="K356" s="405">
        <v>1.1060933307153609</v>
      </c>
      <c r="L356" s="405">
        <v>1.4425563354266715</v>
      </c>
      <c r="M356" s="405">
        <v>1.2785053528739216</v>
      </c>
      <c r="N356" s="94">
        <v>1.1895276292335115</v>
      </c>
      <c r="O356" s="38"/>
      <c r="P356" s="558" t="str">
        <f>IF(Contents!$B$2=2,"Yes","Да")</f>
        <v>Yes</v>
      </c>
      <c r="Q356" s="38"/>
      <c r="R356" s="39"/>
      <c r="S356" s="39"/>
      <c r="T356" s="39"/>
      <c r="U356" s="39"/>
      <c r="W356" s="933">
        <v>1</v>
      </c>
      <c r="Y356" s="558"/>
    </row>
    <row r="357" spans="1:25">
      <c r="B357" s="78"/>
      <c r="C357" s="53"/>
      <c r="D357" s="38"/>
      <c r="E357" s="38"/>
      <c r="F357" s="38"/>
      <c r="G357" s="38"/>
      <c r="H357" s="38"/>
      <c r="I357" s="38"/>
      <c r="J357" s="38"/>
      <c r="K357" s="38"/>
      <c r="L357" s="38"/>
      <c r="M357" s="38"/>
      <c r="N357" s="108"/>
      <c r="O357" s="38"/>
      <c r="P357" s="558"/>
      <c r="Q357" s="38"/>
      <c r="R357" s="39"/>
      <c r="S357" s="39"/>
      <c r="T357" s="39"/>
      <c r="U357" s="39"/>
    </row>
    <row r="358" spans="1:25">
      <c r="B358" s="25" t="str">
        <f>IF(Contents!$B$2=2,"Notes:","Примечания: ")</f>
        <v>Notes:</v>
      </c>
      <c r="C358" s="61"/>
      <c r="D358" s="108"/>
      <c r="E358" s="108"/>
      <c r="F358" s="108"/>
      <c r="G358" s="108"/>
      <c r="H358" s="108"/>
      <c r="I358" s="108"/>
      <c r="J358" s="108"/>
      <c r="K358" s="108"/>
      <c r="L358" s="108"/>
      <c r="M358" s="108"/>
      <c r="N358" s="109"/>
      <c r="O358" s="38"/>
      <c r="P358" s="558"/>
      <c r="Q358" s="38"/>
      <c r="R358" s="39"/>
      <c r="S358" s="39"/>
      <c r="T358" s="39"/>
      <c r="U358" s="39"/>
    </row>
    <row r="359" spans="1:25">
      <c r="B359" s="406" t="str">
        <f>IF(Contents!$B$2=2,"Minimum wage positions (2025)","Должности с минимальным уровнем оплаты труда (2025 г.):")</f>
        <v>Minimum wage positions (2025)</v>
      </c>
      <c r="C359" s="406"/>
      <c r="D359" s="407"/>
      <c r="E359" s="407"/>
      <c r="F359" s="407"/>
      <c r="G359" s="407"/>
      <c r="H359" s="407"/>
      <c r="I359" s="407"/>
      <c r="J359" s="407"/>
      <c r="K359" s="407"/>
      <c r="L359" s="407"/>
      <c r="M359" s="407"/>
      <c r="N359" s="407"/>
      <c r="O359" s="29"/>
      <c r="P359" s="558"/>
      <c r="Q359" s="29"/>
      <c r="R359" s="39"/>
      <c r="S359" s="39"/>
      <c r="T359" s="39"/>
      <c r="U359" s="39"/>
    </row>
    <row r="360" spans="1:25">
      <c r="B360" s="406" t="str">
        <f>IF(Contents!$B$2=2,"Moscow: junior specialist for both men and women.","Москва: мужчины и женщины - младший специалист.")</f>
        <v>Moscow: junior specialist for both men and women.</v>
      </c>
      <c r="C360" s="53"/>
      <c r="D360" s="46"/>
      <c r="E360" s="46"/>
      <c r="F360" s="46"/>
      <c r="G360" s="46"/>
      <c r="H360" s="46"/>
      <c r="I360" s="38"/>
      <c r="J360" s="38"/>
      <c r="K360" s="38"/>
      <c r="L360" s="38"/>
      <c r="M360" s="38"/>
      <c r="N360" s="38"/>
      <c r="O360" s="38"/>
      <c r="P360" s="558"/>
      <c r="Q360" s="38"/>
      <c r="R360" s="39"/>
      <c r="S360" s="39"/>
      <c r="T360" s="39"/>
      <c r="U360" s="39"/>
    </row>
    <row r="361" spans="1:25">
      <c r="B361" s="408" t="str">
        <f>IF(Contents!$B$2=2,"Yamalo-Nenets Autonomous District: technicians for men, cleaners of production and office premises for women.","ЯНАО: мужчины - техник, женщины - уборщик производственных и служебных помещений.")</f>
        <v>Yamalo-Nenets Autonomous District: technicians for men, cleaners of production and office premises for women.</v>
      </c>
      <c r="C361" s="53"/>
      <c r="D361" s="46"/>
      <c r="E361" s="46"/>
      <c r="F361" s="46"/>
      <c r="G361" s="46"/>
      <c r="H361" s="46"/>
      <c r="I361" s="38"/>
      <c r="J361" s="38"/>
      <c r="K361" s="38"/>
      <c r="L361" s="38"/>
      <c r="M361" s="38"/>
      <c r="N361" s="38"/>
      <c r="O361" s="38"/>
      <c r="P361" s="558"/>
      <c r="Q361" s="38"/>
      <c r="R361" s="39"/>
      <c r="S361" s="39"/>
      <c r="T361" s="39"/>
      <c r="U361" s="39"/>
    </row>
    <row r="362" spans="1:25">
      <c r="B362" s="408" t="str">
        <f>IF(Contents!$B$2=2,"Minimum wage in the region according to the Federal State Statistics Service","Минимальный размер оплаты труда (МРОТ) по данным Федеральной службы государственной статистики (Росстат).")</f>
        <v>Minimum wage in the region according to the Federal State Statistics Service</v>
      </c>
      <c r="C362" s="53"/>
      <c r="D362" s="46"/>
      <c r="E362" s="46"/>
      <c r="F362" s="46"/>
      <c r="G362" s="46"/>
      <c r="H362" s="46"/>
      <c r="I362" s="38"/>
      <c r="J362" s="38"/>
      <c r="K362" s="38"/>
      <c r="L362" s="38"/>
      <c r="M362" s="38"/>
      <c r="N362" s="38"/>
      <c r="O362" s="38"/>
      <c r="P362" s="558"/>
      <c r="Q362" s="38"/>
      <c r="R362" s="39"/>
      <c r="S362" s="39"/>
      <c r="T362" s="39"/>
      <c r="U362" s="39"/>
    </row>
    <row r="363" spans="1:25">
      <c r="B363" s="406"/>
      <c r="C363" s="53"/>
      <c r="D363" s="46"/>
      <c r="E363" s="46"/>
      <c r="F363" s="46"/>
      <c r="G363" s="46"/>
      <c r="H363" s="46"/>
      <c r="I363" s="38"/>
      <c r="J363" s="38"/>
      <c r="K363" s="38"/>
      <c r="L363" s="38"/>
      <c r="M363" s="38"/>
      <c r="N363" s="38"/>
      <c r="O363" s="38"/>
      <c r="P363" s="558"/>
      <c r="Q363" s="38"/>
      <c r="R363" s="39"/>
      <c r="S363" s="39"/>
      <c r="T363" s="39"/>
      <c r="U363" s="39"/>
    </row>
    <row r="364" spans="1:25" ht="45" customHeight="1">
      <c r="A364" s="397"/>
      <c r="B364" s="390"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Ratio of the the average salary in the Company (excluding dependent companies) to the average salary in the Yamalo-Nenets Autonomous Okrug</v>
      </c>
      <c r="C364" s="391"/>
      <c r="D364" s="403"/>
      <c r="E364" s="403"/>
      <c r="F364" s="403"/>
      <c r="G364" s="403"/>
      <c r="H364" s="403"/>
      <c r="I364" s="404"/>
      <c r="J364" s="403"/>
      <c r="K364" s="403"/>
      <c r="L364" s="403"/>
      <c r="M364" s="403"/>
      <c r="N364" s="403"/>
      <c r="O364" s="38"/>
      <c r="P364" s="558"/>
      <c r="Q364" s="38"/>
      <c r="R364" s="39"/>
      <c r="S364" s="39"/>
      <c r="T364" s="39"/>
      <c r="U364" s="39" t="str">
        <f>IF(Contents!$B$2=2,"PBCS 20","СОКБ 20")</f>
        <v>PBCS 20</v>
      </c>
    </row>
    <row r="365" spans="1:25" ht="53.1" customHeight="1">
      <c r="B365" s="52"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Ratio of the the average salary in the Company (excluding dependent companies) to the average salary in the Yamalo-Nenets Autonomous Okrug</v>
      </c>
      <c r="C365" s="53" t="s">
        <v>136</v>
      </c>
      <c r="D365" s="38" t="s">
        <v>185</v>
      </c>
      <c r="E365" s="38" t="s">
        <v>185</v>
      </c>
      <c r="F365" s="38" t="s">
        <v>185</v>
      </c>
      <c r="G365" s="38" t="s">
        <v>185</v>
      </c>
      <c r="H365" s="38" t="s">
        <v>185</v>
      </c>
      <c r="I365" s="38" t="s">
        <v>185</v>
      </c>
      <c r="J365" s="38" t="s">
        <v>185</v>
      </c>
      <c r="K365" s="38" t="s">
        <v>185</v>
      </c>
      <c r="L365" s="38" t="s">
        <v>185</v>
      </c>
      <c r="M365" s="38" t="s">
        <v>185</v>
      </c>
      <c r="N365" s="97">
        <v>2.7</v>
      </c>
      <c r="O365" s="871"/>
      <c r="P365" s="558"/>
      <c r="Q365" s="38"/>
      <c r="R365" s="39"/>
      <c r="S365" s="39"/>
      <c r="T365" s="39"/>
      <c r="U365" s="39" t="str">
        <f>IF(Contents!$B$2=2,"PBCS 20","СОКБ 20")</f>
        <v>PBCS 20</v>
      </c>
      <c r="W365" s="933">
        <v>1</v>
      </c>
    </row>
    <row r="366" spans="1:25">
      <c r="B366" s="750"/>
      <c r="C366" s="53"/>
      <c r="D366" s="38"/>
      <c r="E366" s="38"/>
      <c r="F366" s="38"/>
      <c r="G366" s="38"/>
      <c r="H366" s="38"/>
      <c r="I366" s="38"/>
      <c r="J366" s="38"/>
      <c r="K366" s="38"/>
      <c r="L366" s="38"/>
      <c r="M366" s="38"/>
      <c r="N366" s="38"/>
      <c r="O366" s="38"/>
      <c r="P366" s="558"/>
      <c r="Q366" s="38"/>
      <c r="R366" s="39"/>
      <c r="S366" s="39"/>
      <c r="T366" s="39"/>
      <c r="U366" s="39"/>
    </row>
    <row r="367" spans="1:25">
      <c r="B367" s="52"/>
      <c r="C367" s="53"/>
      <c r="D367" s="38"/>
      <c r="E367" s="38"/>
      <c r="F367" s="38"/>
      <c r="G367" s="38"/>
      <c r="H367" s="38"/>
      <c r="I367" s="38"/>
      <c r="J367" s="38"/>
      <c r="K367" s="38"/>
      <c r="L367" s="38"/>
      <c r="M367" s="38"/>
      <c r="N367" s="38"/>
      <c r="O367" s="38"/>
      <c r="P367" s="595"/>
      <c r="Q367" s="38"/>
      <c r="R367" s="39"/>
      <c r="S367" s="39"/>
      <c r="T367" s="39"/>
      <c r="U367" s="39"/>
    </row>
    <row r="368" spans="1:25">
      <c r="B368" s="25" t="str">
        <f>IF(Contents!$B$2=2,"Notes:","Примечания: ")</f>
        <v>Notes:</v>
      </c>
      <c r="C368" s="53"/>
      <c r="D368" s="38"/>
      <c r="E368" s="38"/>
      <c r="F368" s="38"/>
      <c r="G368" s="38"/>
      <c r="H368" s="38"/>
      <c r="I368" s="38"/>
      <c r="J368" s="38"/>
      <c r="K368" s="38"/>
      <c r="L368" s="38"/>
      <c r="M368" s="38"/>
      <c r="N368" s="38"/>
      <c r="O368" s="38"/>
      <c r="P368" s="595"/>
      <c r="Q368" s="38"/>
      <c r="R368" s="39"/>
      <c r="S368" s="39"/>
      <c r="T368" s="39"/>
      <c r="U368" s="39"/>
    </row>
    <row r="369" spans="2:23">
      <c r="B369" s="26" t="str">
        <f>IF(Contents!$B$2=2,"Average wages in Yamalo-Nenets Autonomous District (across the region)","Средний уровень заработной платы в ЯНАО (по региону)")</f>
        <v>Average wages in Yamalo-Nenets Autonomous District (across the region)</v>
      </c>
      <c r="C369" s="53" t="str">
        <f>IF(Contents!$B$2=2,"RR th.","тыс. руб.")</f>
        <v>RR th.</v>
      </c>
      <c r="D369" s="110" t="s">
        <v>185</v>
      </c>
      <c r="E369" s="110" t="s">
        <v>185</v>
      </c>
      <c r="F369" s="110" t="s">
        <v>185</v>
      </c>
      <c r="G369" s="110" t="s">
        <v>185</v>
      </c>
      <c r="H369" s="110" t="s">
        <v>185</v>
      </c>
      <c r="I369" s="110" t="s">
        <v>185</v>
      </c>
      <c r="J369" s="110" t="s">
        <v>185</v>
      </c>
      <c r="K369" s="110">
        <v>131</v>
      </c>
      <c r="L369" s="110">
        <v>145</v>
      </c>
      <c r="M369" s="110">
        <v>160</v>
      </c>
      <c r="N369" s="110">
        <v>178</v>
      </c>
      <c r="O369" s="38"/>
      <c r="P369" s="595"/>
      <c r="Q369" s="38"/>
      <c r="R369" s="39"/>
      <c r="S369" s="39"/>
      <c r="T369" s="39"/>
      <c r="U369" s="39"/>
    </row>
    <row r="370" spans="2:23">
      <c r="B370" s="402"/>
      <c r="C370" s="53"/>
      <c r="D370" s="38"/>
      <c r="E370" s="38"/>
      <c r="F370" s="38"/>
      <c r="G370" s="38"/>
      <c r="H370" s="38"/>
      <c r="I370" s="38"/>
      <c r="J370" s="38"/>
      <c r="K370" s="14"/>
      <c r="L370" s="14"/>
      <c r="M370" s="14"/>
      <c r="N370" s="14"/>
      <c r="O370" s="38"/>
      <c r="P370" s="558"/>
      <c r="Q370" s="38"/>
      <c r="R370" s="39"/>
      <c r="S370" s="39"/>
      <c r="T370" s="39"/>
      <c r="U370" s="39"/>
    </row>
    <row r="371" spans="2:23" ht="20.100000000000001" customHeight="1">
      <c r="B371" s="45" t="str">
        <f>IF(Contents!$B$2=2,"Personnel training and development","Обучение и развитие персонала")</f>
        <v>Personnel training and development</v>
      </c>
      <c r="C371" s="105"/>
      <c r="D371" s="106"/>
      <c r="E371" s="106"/>
      <c r="F371" s="106"/>
      <c r="G371" s="106"/>
      <c r="H371" s="106"/>
      <c r="I371" s="363"/>
      <c r="J371" s="363"/>
      <c r="K371" s="363"/>
      <c r="L371" s="363"/>
      <c r="M371" s="363"/>
      <c r="N371" s="363"/>
      <c r="O371" s="420"/>
      <c r="P371" s="558"/>
      <c r="Q371" s="420"/>
      <c r="R371" s="39"/>
      <c r="S371" s="39"/>
      <c r="T371" s="39"/>
      <c r="U371" s="39"/>
    </row>
    <row r="372" spans="2:23" ht="41.1" customHeight="1">
      <c r="B372" s="216" t="str">
        <f>IF(Contents!$B$2=2,"Total number of training hours","Общее количество часов обучения")</f>
        <v>Total number of training hours</v>
      </c>
      <c r="C372" s="410" t="str">
        <f>IF(Contents!$B$2=2,"hours","часов")</f>
        <v>hours</v>
      </c>
      <c r="D372" s="411">
        <v>156658</v>
      </c>
      <c r="E372" s="411">
        <v>909212</v>
      </c>
      <c r="F372" s="411">
        <v>313947</v>
      </c>
      <c r="G372" s="411">
        <v>379790</v>
      </c>
      <c r="H372" s="411">
        <v>389484</v>
      </c>
      <c r="I372" s="411">
        <v>517594</v>
      </c>
      <c r="J372" s="411">
        <v>756125</v>
      </c>
      <c r="K372" s="411">
        <v>1064289</v>
      </c>
      <c r="L372" s="411">
        <v>1128320</v>
      </c>
      <c r="M372" s="411">
        <v>1310323</v>
      </c>
      <c r="N372" s="411">
        <v>1102944</v>
      </c>
      <c r="O372" s="420"/>
      <c r="P372" s="558" t="str">
        <f>IF(Contents!$B$2=2,"Yes","Да")</f>
        <v>Yes</v>
      </c>
      <c r="Q372" s="864"/>
      <c r="R372" s="39"/>
      <c r="S372" s="39"/>
      <c r="T372" s="39"/>
      <c r="U372" s="39"/>
      <c r="W372" s="933">
        <v>1</v>
      </c>
    </row>
    <row r="373" spans="2:23" ht="23.45" customHeight="1">
      <c r="B373" s="364" t="str">
        <f>IF(Contents!$B$2=2,"by gender","по полу")</f>
        <v>by gender</v>
      </c>
      <c r="C373" s="77"/>
      <c r="D373" s="111"/>
      <c r="E373" s="111"/>
      <c r="F373" s="111"/>
      <c r="G373" s="111"/>
      <c r="H373" s="111"/>
      <c r="I373" s="85"/>
      <c r="J373" s="111"/>
      <c r="K373" s="111"/>
      <c r="L373" s="111"/>
      <c r="M373" s="111"/>
      <c r="N373" s="111"/>
      <c r="O373" s="37"/>
      <c r="P373" s="558"/>
      <c r="Q373" s="864"/>
      <c r="R373" s="187"/>
      <c r="S373" s="39"/>
      <c r="T373" s="39"/>
      <c r="U373" s="39"/>
    </row>
    <row r="374" spans="2:23" ht="23.45" customHeight="1">
      <c r="B374" s="93" t="str">
        <f>IF(Contents!$B$2=2,"Male","Мужчины")</f>
        <v>Male</v>
      </c>
      <c r="C374" s="412" t="str">
        <f>IF(Contents!$B$2=2,"hours","часов")</f>
        <v>hours</v>
      </c>
      <c r="D374" s="91">
        <v>137669</v>
      </c>
      <c r="E374" s="91">
        <v>873688</v>
      </c>
      <c r="F374" s="91">
        <v>286551</v>
      </c>
      <c r="G374" s="91">
        <v>347299</v>
      </c>
      <c r="H374" s="91">
        <v>342339</v>
      </c>
      <c r="I374" s="91">
        <v>482704</v>
      </c>
      <c r="J374" s="91">
        <v>704746</v>
      </c>
      <c r="K374" s="91">
        <v>983186</v>
      </c>
      <c r="L374" s="91">
        <v>1044513</v>
      </c>
      <c r="M374" s="91">
        <v>1240933</v>
      </c>
      <c r="N374" s="793">
        <v>1038358</v>
      </c>
      <c r="O374" s="420"/>
      <c r="P374" s="558"/>
      <c r="Q374" s="864"/>
      <c r="R374" s="39"/>
      <c r="S374" s="39"/>
      <c r="T374" s="39"/>
      <c r="U374" s="39"/>
      <c r="W374" s="933">
        <v>1</v>
      </c>
    </row>
    <row r="375" spans="2:23" ht="21.6" customHeight="1">
      <c r="B375" s="93" t="str">
        <f>IF(Contents!$B$2=2,"Female","Женщины")</f>
        <v>Female</v>
      </c>
      <c r="C375" s="412" t="str">
        <f>IF(Contents!$B$2=2,"hours","часов")</f>
        <v>hours</v>
      </c>
      <c r="D375" s="91">
        <v>18989</v>
      </c>
      <c r="E375" s="91">
        <v>35524</v>
      </c>
      <c r="F375" s="91">
        <v>27396</v>
      </c>
      <c r="G375" s="91">
        <v>32491</v>
      </c>
      <c r="H375" s="91">
        <v>47145</v>
      </c>
      <c r="I375" s="91">
        <v>34890</v>
      </c>
      <c r="J375" s="91">
        <v>51379</v>
      </c>
      <c r="K375" s="91">
        <v>81103</v>
      </c>
      <c r="L375" s="91">
        <v>83807</v>
      </c>
      <c r="M375" s="91">
        <v>69390</v>
      </c>
      <c r="N375" s="793">
        <v>64586</v>
      </c>
      <c r="O375" s="420"/>
      <c r="P375" s="558"/>
      <c r="Q375" s="864"/>
      <c r="R375" s="39"/>
      <c r="S375" s="39"/>
      <c r="T375" s="39"/>
      <c r="U375" s="39"/>
      <c r="W375" s="933">
        <v>1</v>
      </c>
    </row>
    <row r="376" spans="2:23" ht="26.1" customHeight="1">
      <c r="B376" s="23" t="str">
        <f>IF(Contents!$B$2=2,"by position","по должностям")</f>
        <v>by position</v>
      </c>
      <c r="C376" s="77"/>
      <c r="D376" s="111"/>
      <c r="E376" s="111"/>
      <c r="F376" s="111"/>
      <c r="G376" s="111"/>
      <c r="H376" s="111"/>
      <c r="I376" s="413"/>
      <c r="J376" s="85"/>
      <c r="K376" s="85"/>
      <c r="L376" s="85"/>
      <c r="M376" s="85"/>
      <c r="N376" s="85"/>
      <c r="O376" s="29"/>
      <c r="P376" s="558" t="str">
        <f>IF(Contents!$B$2=2,"Yes","Да")</f>
        <v>Yes</v>
      </c>
      <c r="Q376" s="864"/>
      <c r="R376" s="187" t="s">
        <v>137</v>
      </c>
      <c r="S376" s="39"/>
      <c r="T376" s="39" t="s">
        <v>138</v>
      </c>
      <c r="U376" s="39"/>
    </row>
    <row r="377" spans="2:23" ht="27" customHeight="1">
      <c r="B377" s="78" t="str">
        <f>IF(Contents!$B$2=2,"Managers","Руководители")</f>
        <v>Managers</v>
      </c>
      <c r="C377" s="412" t="str">
        <f>IF(Contents!$B$2=2,"hours","часов")</f>
        <v>hours</v>
      </c>
      <c r="D377" s="46" t="s">
        <v>185</v>
      </c>
      <c r="E377" s="46" t="s">
        <v>185</v>
      </c>
      <c r="F377" s="46" t="s">
        <v>185</v>
      </c>
      <c r="G377" s="46" t="s">
        <v>185</v>
      </c>
      <c r="H377" s="46" t="s">
        <v>185</v>
      </c>
      <c r="I377" s="46" t="s">
        <v>185</v>
      </c>
      <c r="J377" s="46" t="s">
        <v>185</v>
      </c>
      <c r="K377" s="38">
        <v>301911</v>
      </c>
      <c r="L377" s="38">
        <v>281356</v>
      </c>
      <c r="M377" s="38">
        <v>256013</v>
      </c>
      <c r="N377" s="89">
        <v>261204</v>
      </c>
      <c r="O377" s="421"/>
      <c r="P377" s="558"/>
      <c r="Q377" s="864"/>
      <c r="R377" s="187"/>
      <c r="S377" s="39"/>
      <c r="T377" s="39"/>
      <c r="U377" s="39"/>
      <c r="W377" s="933">
        <v>1</v>
      </c>
    </row>
    <row r="378" spans="2:23" ht="22.5" customHeight="1">
      <c r="B378" s="87" t="str">
        <f>IF(Contents!$B$2=2,"White-collar employees","Специалисты и служащие")</f>
        <v>White-collar employees</v>
      </c>
      <c r="C378" s="412" t="str">
        <f>IF(Contents!$B$2=2,"hours","часов")</f>
        <v>hours</v>
      </c>
      <c r="D378" s="46" t="s">
        <v>185</v>
      </c>
      <c r="E378" s="46" t="s">
        <v>185</v>
      </c>
      <c r="F378" s="46" t="s">
        <v>185</v>
      </c>
      <c r="G378" s="46" t="s">
        <v>185</v>
      </c>
      <c r="H378" s="46" t="s">
        <v>185</v>
      </c>
      <c r="I378" s="46" t="s">
        <v>185</v>
      </c>
      <c r="J378" s="46" t="s">
        <v>185</v>
      </c>
      <c r="K378" s="38">
        <v>289952</v>
      </c>
      <c r="L378" s="38">
        <v>340885</v>
      </c>
      <c r="M378" s="365">
        <v>431373</v>
      </c>
      <c r="N378" s="89">
        <v>312542</v>
      </c>
      <c r="O378" s="421"/>
      <c r="P378" s="558"/>
      <c r="Q378" s="864"/>
      <c r="R378" s="39"/>
      <c r="S378" s="39"/>
      <c r="T378" s="39"/>
      <c r="U378" s="39"/>
      <c r="W378" s="933">
        <v>1</v>
      </c>
    </row>
    <row r="379" spans="2:23" ht="22.5" customHeight="1">
      <c r="B379" s="78" t="str">
        <f>IF(Contents!$B$2=2,"Blue-collar employees","Рабочие")</f>
        <v>Blue-collar employees</v>
      </c>
      <c r="C379" s="412" t="str">
        <f>IF(Contents!$B$2=2,"hours","часов")</f>
        <v>hours</v>
      </c>
      <c r="D379" s="46" t="s">
        <v>185</v>
      </c>
      <c r="E379" s="46" t="s">
        <v>185</v>
      </c>
      <c r="F379" s="46" t="s">
        <v>185</v>
      </c>
      <c r="G379" s="46" t="s">
        <v>185</v>
      </c>
      <c r="H379" s="46" t="s">
        <v>185</v>
      </c>
      <c r="I379" s="46" t="s">
        <v>185</v>
      </c>
      <c r="J379" s="46" t="s">
        <v>185</v>
      </c>
      <c r="K379" s="38">
        <v>472427</v>
      </c>
      <c r="L379" s="38">
        <v>506279</v>
      </c>
      <c r="M379" s="38">
        <v>622937</v>
      </c>
      <c r="N379" s="89">
        <v>529198</v>
      </c>
      <c r="O379" s="421"/>
      <c r="P379" s="558"/>
      <c r="Q379" s="864"/>
      <c r="R379" s="39"/>
      <c r="S379" s="39"/>
      <c r="T379" s="39"/>
      <c r="U379" s="39"/>
      <c r="W379" s="933">
        <v>1</v>
      </c>
    </row>
    <row r="380" spans="2:23" ht="22.5" customHeight="1">
      <c r="B380" s="78"/>
      <c r="C380" s="412"/>
      <c r="D380" s="46"/>
      <c r="E380" s="46"/>
      <c r="F380" s="46"/>
      <c r="G380" s="46"/>
      <c r="H380" s="46"/>
      <c r="I380" s="38"/>
      <c r="J380" s="46"/>
      <c r="K380" s="38"/>
      <c r="L380" s="38"/>
      <c r="M380" s="38"/>
      <c r="N380" s="38"/>
      <c r="O380" s="421"/>
      <c r="P380" s="558"/>
      <c r="Q380" s="421"/>
      <c r="R380" s="39"/>
      <c r="S380" s="39"/>
      <c r="T380" s="39"/>
      <c r="U380" s="39"/>
    </row>
    <row r="381" spans="2:23" ht="47.45" customHeight="1">
      <c r="B381" s="48" t="str">
        <f>IF(Contents!$B$2=2,"Average training hours per employee (year-end headcount)","Среднее количество часов обучения на одного работника (на списочную численность на конец года)")</f>
        <v>Average training hours per employee (year-end headcount)</v>
      </c>
      <c r="C381" s="49" t="str">
        <f>IF(Contents!$B$2=2,"hours","часов")</f>
        <v>hours</v>
      </c>
      <c r="D381" s="51">
        <v>15</v>
      </c>
      <c r="E381" s="51">
        <v>79</v>
      </c>
      <c r="F381" s="51">
        <v>26</v>
      </c>
      <c r="G381" s="51">
        <v>27</v>
      </c>
      <c r="H381" s="51">
        <v>25</v>
      </c>
      <c r="I381" s="51">
        <v>31</v>
      </c>
      <c r="J381" s="51">
        <v>41</v>
      </c>
      <c r="K381" s="51">
        <v>54</v>
      </c>
      <c r="L381" s="51">
        <v>54</v>
      </c>
      <c r="M381" s="51">
        <v>59</v>
      </c>
      <c r="N381" s="51">
        <v>47</v>
      </c>
      <c r="O381" s="879"/>
      <c r="P381" s="558" t="str">
        <f>IF(Contents!$B$2=2,"Yes","Да")</f>
        <v>Yes</v>
      </c>
      <c r="Q381" s="164"/>
      <c r="R381" s="187" t="s">
        <v>137</v>
      </c>
      <c r="S381" s="39"/>
      <c r="T381" s="39" t="s">
        <v>138</v>
      </c>
      <c r="U381" s="39" t="str">
        <f>IF(Contents!$B$2=2,"PBCS 32","СОКБ 32")</f>
        <v>PBCS 32</v>
      </c>
      <c r="W381" s="933">
        <v>1</v>
      </c>
    </row>
    <row r="382" spans="2:23" ht="22.5" customHeight="1">
      <c r="B382" s="364" t="str">
        <f>IF(Contents!$B$2=2,"by gender","по полу")</f>
        <v>by gender</v>
      </c>
      <c r="C382" s="77"/>
      <c r="D382" s="111"/>
      <c r="E382" s="111"/>
      <c r="F382" s="111"/>
      <c r="G382" s="111"/>
      <c r="H382" s="111"/>
      <c r="I382" s="85"/>
      <c r="J382" s="111"/>
      <c r="K382" s="111"/>
      <c r="L382" s="111"/>
      <c r="M382" s="111"/>
      <c r="N382" s="111"/>
      <c r="O382" s="37"/>
      <c r="P382" s="558"/>
      <c r="Q382" s="164"/>
      <c r="R382" s="187"/>
      <c r="S382" s="39"/>
      <c r="T382" s="39"/>
      <c r="U382" s="39"/>
    </row>
    <row r="383" spans="2:23" ht="22.5" customHeight="1">
      <c r="B383" s="93" t="str">
        <f>IF(Contents!$B$2=2,"Male","Мужчины")</f>
        <v>Male</v>
      </c>
      <c r="C383" s="412" t="str">
        <f>IF(Contents!$B$2=2,"hours","часов")</f>
        <v>hours</v>
      </c>
      <c r="D383" s="38">
        <v>18</v>
      </c>
      <c r="E383" s="38">
        <v>101</v>
      </c>
      <c r="F383" s="38">
        <v>31</v>
      </c>
      <c r="G383" s="38">
        <v>32</v>
      </c>
      <c r="H383" s="38">
        <v>29</v>
      </c>
      <c r="I383" s="38">
        <v>37</v>
      </c>
      <c r="J383" s="38">
        <v>49</v>
      </c>
      <c r="K383" s="38">
        <v>64</v>
      </c>
      <c r="L383" s="38">
        <v>63</v>
      </c>
      <c r="M383" s="38">
        <v>71</v>
      </c>
      <c r="N383" s="89">
        <v>55</v>
      </c>
      <c r="O383" s="879"/>
      <c r="P383" s="558" t="str">
        <f>IF(Contents!$B$2=2,"Yes","Да")</f>
        <v>Yes</v>
      </c>
      <c r="Q383" s="164"/>
      <c r="R383" s="39"/>
      <c r="S383" s="39"/>
      <c r="T383" s="39"/>
      <c r="U383" s="39"/>
      <c r="W383" s="933">
        <v>1</v>
      </c>
    </row>
    <row r="384" spans="2:23" ht="22.5" customHeight="1">
      <c r="B384" s="93" t="str">
        <f>IF(Contents!$B$2=2,"Female","Женщины")</f>
        <v>Female</v>
      </c>
      <c r="C384" s="412" t="str">
        <f>IF(Contents!$B$2=2,"hours","часов")</f>
        <v>hours</v>
      </c>
      <c r="D384" s="38">
        <v>7</v>
      </c>
      <c r="E384" s="38">
        <v>12</v>
      </c>
      <c r="F384" s="38">
        <v>9</v>
      </c>
      <c r="G384" s="38">
        <v>10</v>
      </c>
      <c r="H384" s="38">
        <v>13</v>
      </c>
      <c r="I384" s="38">
        <v>9</v>
      </c>
      <c r="J384" s="38">
        <v>13</v>
      </c>
      <c r="K384" s="38">
        <v>19</v>
      </c>
      <c r="L384" s="38">
        <v>19</v>
      </c>
      <c r="M384" s="38">
        <v>15</v>
      </c>
      <c r="N384" s="89">
        <v>14</v>
      </c>
      <c r="O384" s="879"/>
      <c r="P384" s="558" t="str">
        <f>IF(Contents!$B$2=2,"Yes","Да")</f>
        <v>Yes</v>
      </c>
      <c r="Q384" s="164"/>
      <c r="R384" s="39"/>
      <c r="S384" s="39"/>
      <c r="T384" s="39"/>
      <c r="U384" s="39"/>
      <c r="W384" s="933">
        <v>1</v>
      </c>
    </row>
    <row r="385" spans="2:24" ht="33.6" customHeight="1">
      <c r="B385" s="23" t="str">
        <f>IF(Contents!$B$2=2,"by position","по должностям")</f>
        <v>by position</v>
      </c>
      <c r="C385" s="77"/>
      <c r="D385" s="111"/>
      <c r="E385" s="111"/>
      <c r="F385" s="111"/>
      <c r="G385" s="111"/>
      <c r="H385" s="111"/>
      <c r="I385" s="413"/>
      <c r="J385" s="85"/>
      <c r="K385" s="85"/>
      <c r="L385" s="85"/>
      <c r="M385" s="85"/>
      <c r="N385" s="85"/>
      <c r="O385" s="29"/>
      <c r="P385" s="558"/>
      <c r="Q385" s="164"/>
      <c r="R385" s="187" t="s">
        <v>137</v>
      </c>
      <c r="S385" s="39"/>
      <c r="T385" s="39" t="s">
        <v>138</v>
      </c>
      <c r="U385" s="39"/>
    </row>
    <row r="386" spans="2:24" ht="27" customHeight="1">
      <c r="B386" s="78" t="str">
        <f>IF(Contents!$B$2=2,"Managers","Руководители")</f>
        <v>Managers</v>
      </c>
      <c r="C386" s="412" t="str">
        <f>IF(Contents!$B$2=2,"hours","часов")</f>
        <v>hours</v>
      </c>
      <c r="D386" s="46">
        <v>31</v>
      </c>
      <c r="E386" s="46">
        <v>40</v>
      </c>
      <c r="F386" s="46">
        <v>33</v>
      </c>
      <c r="G386" s="46">
        <v>30</v>
      </c>
      <c r="H386" s="46">
        <v>38</v>
      </c>
      <c r="I386" s="38">
        <v>49</v>
      </c>
      <c r="J386" s="38">
        <v>57</v>
      </c>
      <c r="K386" s="82">
        <v>78</v>
      </c>
      <c r="L386" s="38">
        <v>68</v>
      </c>
      <c r="M386" s="38">
        <v>60</v>
      </c>
      <c r="N386" s="89">
        <v>59</v>
      </c>
      <c r="O386" s="879"/>
      <c r="P386" s="558" t="str">
        <f>IF(Contents!$B$2=2,"Yes","Да")</f>
        <v>Yes</v>
      </c>
      <c r="Q386" s="421"/>
      <c r="R386" s="187"/>
      <c r="S386" s="39"/>
      <c r="T386" s="39"/>
      <c r="U386" s="39"/>
      <c r="W386" s="933">
        <v>1</v>
      </c>
    </row>
    <row r="387" spans="2:24" ht="22.5" customHeight="1">
      <c r="B387" s="87" t="str">
        <f>IF(Contents!$B$2=2,"White-collar employees","Специалисты и служащие")</f>
        <v>White-collar employees</v>
      </c>
      <c r="C387" s="412" t="str">
        <f>IF(Contents!$B$2=2,"hours","часов")</f>
        <v>hours</v>
      </c>
      <c r="D387" s="46">
        <v>44</v>
      </c>
      <c r="E387" s="46">
        <v>64</v>
      </c>
      <c r="F387" s="46">
        <v>40</v>
      </c>
      <c r="G387" s="46">
        <v>45</v>
      </c>
      <c r="H387" s="46">
        <v>40</v>
      </c>
      <c r="I387" s="38">
        <v>44</v>
      </c>
      <c r="J387" s="38">
        <v>36</v>
      </c>
      <c r="K387" s="414">
        <v>40</v>
      </c>
      <c r="L387" s="38">
        <v>42</v>
      </c>
      <c r="M387" s="38">
        <v>51</v>
      </c>
      <c r="N387" s="89">
        <v>32</v>
      </c>
      <c r="O387" s="879"/>
      <c r="P387" s="558" t="str">
        <f>IF(Contents!$B$2=2,"Yes","Да")</f>
        <v>Yes</v>
      </c>
      <c r="Q387" s="421"/>
      <c r="R387" s="39"/>
      <c r="S387" s="39"/>
      <c r="T387" s="39"/>
      <c r="U387" s="39"/>
      <c r="W387" s="933">
        <v>1</v>
      </c>
    </row>
    <row r="388" spans="2:24" ht="22.5" customHeight="1">
      <c r="B388" s="78" t="str">
        <f>IF(Contents!$B$2=2,"Blue-collar employees","Рабочие")</f>
        <v>Blue-collar employees</v>
      </c>
      <c r="C388" s="412" t="str">
        <f>IF(Contents!$B$2=2,"hours","часов")</f>
        <v>hours</v>
      </c>
      <c r="D388" s="46">
        <v>53</v>
      </c>
      <c r="E388" s="46">
        <v>242</v>
      </c>
      <c r="F388" s="46">
        <v>66</v>
      </c>
      <c r="G388" s="46">
        <v>51</v>
      </c>
      <c r="H388" s="46">
        <v>52</v>
      </c>
      <c r="I388" s="38">
        <v>54</v>
      </c>
      <c r="J388" s="38">
        <v>39</v>
      </c>
      <c r="K388" s="82">
        <v>56</v>
      </c>
      <c r="L388" s="38">
        <v>57</v>
      </c>
      <c r="M388" s="38">
        <v>67</v>
      </c>
      <c r="N388" s="89">
        <v>57</v>
      </c>
      <c r="O388" s="879"/>
      <c r="P388" s="558" t="str">
        <f>IF(Contents!$B$2=2,"Yes","Да")</f>
        <v>Yes</v>
      </c>
      <c r="Q388" s="421"/>
      <c r="R388" s="39"/>
      <c r="S388" s="39"/>
      <c r="T388" s="39"/>
      <c r="U388" s="39"/>
      <c r="W388" s="933">
        <v>1</v>
      </c>
    </row>
    <row r="389" spans="2:24">
      <c r="B389" s="78"/>
      <c r="C389" s="412"/>
      <c r="D389" s="46"/>
      <c r="E389" s="46"/>
      <c r="F389" s="46"/>
      <c r="G389" s="46"/>
      <c r="H389" s="46"/>
      <c r="I389" s="38"/>
      <c r="J389" s="38"/>
      <c r="K389" s="38"/>
      <c r="L389" s="38"/>
      <c r="M389" s="38"/>
      <c r="N389" s="38"/>
      <c r="O389" s="421"/>
      <c r="P389" s="558"/>
      <c r="Q389" s="421"/>
      <c r="R389" s="39"/>
      <c r="S389" s="39"/>
      <c r="T389" s="39"/>
      <c r="U389" s="39"/>
    </row>
    <row r="390" spans="2:24" ht="22.5" customHeight="1">
      <c r="B390" s="398" t="str">
        <f>IF(Contents!$B$2=2,"Employee training expenses","Расходы на обучение работников")</f>
        <v>Employee training expenses</v>
      </c>
      <c r="C390" s="399" t="str">
        <f>IF(Contents!$B$2=2,"RR mln","млн руб.")</f>
        <v>RR mln</v>
      </c>
      <c r="D390" s="415" t="s">
        <v>185</v>
      </c>
      <c r="E390" s="415" t="s">
        <v>185</v>
      </c>
      <c r="F390" s="415" t="s">
        <v>185</v>
      </c>
      <c r="G390" s="415">
        <v>110</v>
      </c>
      <c r="H390" s="415">
        <v>90</v>
      </c>
      <c r="I390" s="415">
        <v>51</v>
      </c>
      <c r="J390" s="415">
        <v>88</v>
      </c>
      <c r="K390" s="415">
        <v>80.5</v>
      </c>
      <c r="L390" s="415">
        <v>174.5</v>
      </c>
      <c r="M390" s="415">
        <v>198</v>
      </c>
      <c r="N390" s="400">
        <v>217</v>
      </c>
      <c r="O390" s="887"/>
      <c r="P390" s="558"/>
      <c r="Q390" s="29"/>
      <c r="R390" s="39"/>
      <c r="S390" s="39"/>
      <c r="T390" s="39"/>
      <c r="U390" s="39" t="str">
        <f>IF(Contents!$B$2=2,"PBCS 31","СОКБ 31")</f>
        <v>PBCS 31</v>
      </c>
      <c r="W390" s="933">
        <v>2</v>
      </c>
    </row>
    <row r="391" spans="2:24" ht="39.950000000000003" customHeight="1">
      <c r="B391" s="392" t="str">
        <f>IF(Contents!$B$2=2,"Average expenses per employee (average headcount)","Расходы в среднем на одного работника (на среднесписочную численность)")</f>
        <v>Average expenses per employee (average headcount)</v>
      </c>
      <c r="C391" s="412" t="str">
        <f>IF(Contents!$B$2=2,"RR th.","тыс. руб.")</f>
        <v>RR th.</v>
      </c>
      <c r="D391" s="38" t="s">
        <v>185</v>
      </c>
      <c r="E391" s="38" t="s">
        <v>185</v>
      </c>
      <c r="F391" s="38" t="s">
        <v>185</v>
      </c>
      <c r="G391" s="378">
        <v>8.4</v>
      </c>
      <c r="H391" s="378">
        <v>6.3</v>
      </c>
      <c r="I391" s="378">
        <v>3.2</v>
      </c>
      <c r="J391" s="378">
        <v>5.0999999999999996</v>
      </c>
      <c r="K391" s="378">
        <v>4.3</v>
      </c>
      <c r="L391" s="378">
        <v>8.8000000000000007</v>
      </c>
      <c r="M391" s="378">
        <v>9.4</v>
      </c>
      <c r="N391" s="97">
        <v>9.6</v>
      </c>
      <c r="O391" s="878"/>
      <c r="P391" s="558"/>
      <c r="Q391" s="29"/>
      <c r="R391" s="39"/>
      <c r="S391" s="39"/>
      <c r="T391" s="39"/>
      <c r="U391" s="39" t="str">
        <f>IF(Contents!$B$2=2,"PBCS 31","СОКБ 31")</f>
        <v>PBCS 31</v>
      </c>
      <c r="W391" s="933">
        <v>2</v>
      </c>
    </row>
    <row r="392" spans="2:24">
      <c r="B392" s="52"/>
      <c r="C392" s="412"/>
      <c r="D392" s="38"/>
      <c r="E392" s="38"/>
      <c r="F392" s="38"/>
      <c r="G392" s="405"/>
      <c r="H392" s="405"/>
      <c r="I392" s="405"/>
      <c r="J392" s="405"/>
      <c r="K392" s="38"/>
      <c r="L392" s="405"/>
      <c r="M392" s="405"/>
      <c r="N392" s="405"/>
      <c r="O392" s="29"/>
      <c r="P392" s="558"/>
      <c r="Q392" s="29"/>
      <c r="R392" s="39"/>
      <c r="S392" s="39"/>
      <c r="T392" s="39"/>
      <c r="U392" s="39"/>
    </row>
    <row r="393" spans="2:24">
      <c r="B393" s="25" t="str">
        <f>IF(Contents!$B$2=2,"Notes:","Примечания: ")</f>
        <v>Notes:</v>
      </c>
      <c r="C393" s="61"/>
      <c r="D393" s="108"/>
      <c r="E393" s="108"/>
      <c r="F393" s="108"/>
      <c r="G393" s="108"/>
      <c r="H393" s="108"/>
      <c r="I393" s="108"/>
      <c r="J393" s="108"/>
      <c r="K393" s="108"/>
      <c r="L393" s="108"/>
      <c r="M393" s="108"/>
      <c r="N393" s="109"/>
      <c r="O393" s="29"/>
      <c r="P393" s="558"/>
      <c r="Q393" s="29"/>
      <c r="R393" s="39"/>
      <c r="S393" s="39"/>
      <c r="T393" s="39"/>
      <c r="U393" s="39"/>
    </row>
    <row r="394" spans="2:24" ht="27" customHeight="1">
      <c r="B394" s="65" t="str">
        <f>IF(Contents!$B$2=2,"Revenue","Выручка")</f>
        <v>Revenue</v>
      </c>
      <c r="C394" s="53" t="str">
        <f>IF(Contents!$B$2=2,"RR mln","млн руб.")</f>
        <v>RR mln</v>
      </c>
      <c r="D394" s="110">
        <v>475325</v>
      </c>
      <c r="E394" s="110">
        <v>537472</v>
      </c>
      <c r="F394" s="110">
        <v>583186</v>
      </c>
      <c r="G394" s="110">
        <v>831758</v>
      </c>
      <c r="H394" s="110">
        <v>862803</v>
      </c>
      <c r="I394" s="110">
        <v>711812</v>
      </c>
      <c r="J394" s="110">
        <v>1156724</v>
      </c>
      <c r="K394" s="110" t="s">
        <v>185</v>
      </c>
      <c r="L394" s="110">
        <v>1371508</v>
      </c>
      <c r="M394" s="110">
        <v>1545851</v>
      </c>
      <c r="N394" s="110">
        <v>1445593</v>
      </c>
      <c r="O394" s="877"/>
      <c r="P394" s="558"/>
      <c r="Q394" s="29"/>
      <c r="R394" s="39"/>
      <c r="S394" s="39"/>
      <c r="T394" s="39"/>
      <c r="U394" s="39"/>
    </row>
    <row r="395" spans="2:24" ht="22.5" customHeight="1">
      <c r="B395" s="396"/>
      <c r="C395" s="412"/>
      <c r="D395" s="38"/>
      <c r="E395" s="38"/>
      <c r="F395" s="38"/>
      <c r="G395" s="38"/>
      <c r="H395" s="38"/>
      <c r="I395" s="38"/>
      <c r="J395" s="38"/>
      <c r="K395" s="38"/>
      <c r="L395" s="38"/>
      <c r="M395" s="38"/>
      <c r="N395" s="38"/>
      <c r="O395" s="29"/>
      <c r="P395" s="558"/>
      <c r="Q395" s="29"/>
      <c r="R395" s="39"/>
      <c r="S395" s="39"/>
      <c r="T395" s="39"/>
      <c r="U395" s="39"/>
    </row>
    <row r="396" spans="2:24" ht="39.6" customHeight="1">
      <c r="B396" s="48" t="str">
        <f>IF(Contents!$B$2=2,"Employees receiving regular performance and career development reviews","Работники, прошедшие оценку результативности и развития карьеры")</f>
        <v>Employees receiving regular performance and career development reviews</v>
      </c>
      <c r="C396" s="49" t="str">
        <f>IF(Contents!$B$2=2,"people"," человек")</f>
        <v>people</v>
      </c>
      <c r="D396" s="415" t="s">
        <v>185</v>
      </c>
      <c r="E396" s="415" t="s">
        <v>185</v>
      </c>
      <c r="F396" s="415" t="s">
        <v>185</v>
      </c>
      <c r="G396" s="415" t="s">
        <v>185</v>
      </c>
      <c r="H396" s="415" t="s">
        <v>185</v>
      </c>
      <c r="I396" s="415" t="s">
        <v>185</v>
      </c>
      <c r="J396" s="415" t="s">
        <v>185</v>
      </c>
      <c r="K396" s="415" t="s">
        <v>185</v>
      </c>
      <c r="L396" s="415" t="s">
        <v>185</v>
      </c>
      <c r="M396" s="411">
        <v>1209</v>
      </c>
      <c r="N396" s="411">
        <v>1716</v>
      </c>
      <c r="O396" s="164"/>
      <c r="P396" s="558"/>
      <c r="Q396" s="164"/>
      <c r="R396" s="39" t="s">
        <v>139</v>
      </c>
      <c r="S396" s="39"/>
      <c r="T396" s="39"/>
      <c r="U396" s="39"/>
      <c r="W396" s="933">
        <v>1</v>
      </c>
      <c r="X396" s="558"/>
    </row>
    <row r="397" spans="2:24" ht="22.5" customHeight="1">
      <c r="B397" s="93" t="str">
        <f>IF(Contents!$B$2=2,"Male","Мужчины")</f>
        <v>Male</v>
      </c>
      <c r="C397" s="412" t="str">
        <f>IF(Contents!$B$2=2,"people"," человек")</f>
        <v>people</v>
      </c>
      <c r="D397" s="38" t="s">
        <v>185</v>
      </c>
      <c r="E397" s="38" t="s">
        <v>185</v>
      </c>
      <c r="F397" s="38" t="s">
        <v>185</v>
      </c>
      <c r="G397" s="38" t="s">
        <v>185</v>
      </c>
      <c r="H397" s="38" t="s">
        <v>185</v>
      </c>
      <c r="I397" s="38" t="s">
        <v>185</v>
      </c>
      <c r="J397" s="38" t="s">
        <v>185</v>
      </c>
      <c r="K397" s="38" t="s">
        <v>185</v>
      </c>
      <c r="L397" s="38" t="s">
        <v>185</v>
      </c>
      <c r="M397" s="38">
        <v>1101</v>
      </c>
      <c r="N397" s="104">
        <v>1625</v>
      </c>
      <c r="O397" s="164"/>
      <c r="P397" s="558"/>
      <c r="Q397" s="164"/>
      <c r="R397" s="39"/>
      <c r="S397" s="39"/>
      <c r="T397" s="39"/>
      <c r="U397" s="39"/>
      <c r="W397" s="933">
        <v>1</v>
      </c>
    </row>
    <row r="398" spans="2:24">
      <c r="B398" s="93" t="str">
        <f>IF(Contents!$B$2=2,"Female","Женщины")</f>
        <v>Female</v>
      </c>
      <c r="C398" s="412" t="str">
        <f>IF(Contents!$B$2=2,"people"," человек")</f>
        <v>people</v>
      </c>
      <c r="D398" s="38" t="s">
        <v>185</v>
      </c>
      <c r="E398" s="38" t="s">
        <v>185</v>
      </c>
      <c r="F398" s="38" t="s">
        <v>185</v>
      </c>
      <c r="G398" s="38" t="s">
        <v>185</v>
      </c>
      <c r="H398" s="38" t="s">
        <v>185</v>
      </c>
      <c r="I398" s="38" t="s">
        <v>185</v>
      </c>
      <c r="J398" s="38" t="s">
        <v>185</v>
      </c>
      <c r="K398" s="38" t="s">
        <v>185</v>
      </c>
      <c r="L398" s="38" t="s">
        <v>185</v>
      </c>
      <c r="M398" s="38">
        <v>108</v>
      </c>
      <c r="N398" s="104">
        <v>91</v>
      </c>
      <c r="O398" s="164"/>
      <c r="P398" s="558"/>
      <c r="Q398" s="164"/>
      <c r="R398" s="39"/>
      <c r="S398" s="39"/>
      <c r="T398" s="39"/>
      <c r="U398" s="39"/>
      <c r="W398" s="933">
        <v>1</v>
      </c>
    </row>
    <row r="399" spans="2:24" ht="37.5" customHeight="1">
      <c r="B399" s="52" t="str">
        <f>IF(Contents!$B$2=2,"Percentage of employees assessed for performance and career development","Доля работников, прошедших оценку результативности и развития карьеры")</f>
        <v>Percentage of employees assessed for performance and career development</v>
      </c>
      <c r="C399" s="53" t="s">
        <v>0</v>
      </c>
      <c r="D399" s="38" t="s">
        <v>185</v>
      </c>
      <c r="E399" s="38" t="s">
        <v>185</v>
      </c>
      <c r="F399" s="38" t="s">
        <v>185</v>
      </c>
      <c r="G399" s="38" t="s">
        <v>185</v>
      </c>
      <c r="H399" s="38" t="s">
        <v>185</v>
      </c>
      <c r="I399" s="38" t="s">
        <v>185</v>
      </c>
      <c r="J399" s="38" t="s">
        <v>185</v>
      </c>
      <c r="K399" s="38" t="s">
        <v>185</v>
      </c>
      <c r="L399" s="38" t="s">
        <v>185</v>
      </c>
      <c r="M399" s="38">
        <v>5.4864766745325833</v>
      </c>
      <c r="N399" s="104">
        <v>7.2733437884118164</v>
      </c>
      <c r="O399" s="193"/>
      <c r="P399" s="558" t="str">
        <f>IF(Contents!$B$2=2,"Yes","Да")</f>
        <v>Yes</v>
      </c>
      <c r="Q399" s="164"/>
      <c r="R399" s="39"/>
      <c r="S399" s="39"/>
      <c r="T399" s="39"/>
      <c r="U399" s="39"/>
      <c r="W399" s="933">
        <v>1</v>
      </c>
    </row>
    <row r="400" spans="2:24" ht="22.5" customHeight="1">
      <c r="B400" s="93" t="str">
        <f>IF(Contents!$B$2=2,"Male","Мужчины")</f>
        <v>Male</v>
      </c>
      <c r="C400" s="412" t="s">
        <v>0</v>
      </c>
      <c r="D400" s="38" t="s">
        <v>185</v>
      </c>
      <c r="E400" s="38" t="s">
        <v>185</v>
      </c>
      <c r="F400" s="38" t="s">
        <v>185</v>
      </c>
      <c r="G400" s="38" t="s">
        <v>185</v>
      </c>
      <c r="H400" s="38" t="s">
        <v>185</v>
      </c>
      <c r="I400" s="38" t="s">
        <v>185</v>
      </c>
      <c r="J400" s="38" t="s">
        <v>185</v>
      </c>
      <c r="K400" s="38" t="s">
        <v>185</v>
      </c>
      <c r="L400" s="38" t="s">
        <v>185</v>
      </c>
      <c r="M400" s="38">
        <v>6</v>
      </c>
      <c r="N400" s="89">
        <v>9</v>
      </c>
      <c r="O400" s="421"/>
      <c r="P400" s="558" t="str">
        <f>IF(Contents!$B$2=2,"Yes","Да")</f>
        <v>Yes</v>
      </c>
      <c r="Q400" s="164"/>
      <c r="R400" s="39"/>
      <c r="S400" s="39"/>
      <c r="T400" s="39"/>
      <c r="U400" s="39"/>
      <c r="W400" s="933">
        <v>1</v>
      </c>
    </row>
    <row r="401" spans="2:25" ht="22.5" customHeight="1">
      <c r="B401" s="93" t="str">
        <f>IF(Contents!$B$2=2,"Female","Женщины")</f>
        <v>Female</v>
      </c>
      <c r="C401" s="412" t="s">
        <v>0</v>
      </c>
      <c r="D401" s="38" t="s">
        <v>185</v>
      </c>
      <c r="E401" s="38" t="s">
        <v>185</v>
      </c>
      <c r="F401" s="38" t="s">
        <v>185</v>
      </c>
      <c r="G401" s="38" t="s">
        <v>185</v>
      </c>
      <c r="H401" s="38" t="s">
        <v>185</v>
      </c>
      <c r="I401" s="38" t="s">
        <v>185</v>
      </c>
      <c r="J401" s="38" t="s">
        <v>185</v>
      </c>
      <c r="K401" s="38" t="s">
        <v>185</v>
      </c>
      <c r="L401" s="38" t="s">
        <v>185</v>
      </c>
      <c r="M401" s="38">
        <v>2</v>
      </c>
      <c r="N401" s="89">
        <v>2</v>
      </c>
      <c r="O401" s="421"/>
      <c r="P401" s="558" t="str">
        <f>IF(Contents!$B$2=2,"Yes","Да")</f>
        <v>Yes</v>
      </c>
      <c r="Q401" s="164"/>
      <c r="R401" s="39"/>
      <c r="S401" s="39"/>
      <c r="T401" s="39"/>
      <c r="U401" s="39"/>
      <c r="W401" s="933">
        <v>1</v>
      </c>
    </row>
    <row r="402" spans="2:25" ht="22.5" customHeight="1">
      <c r="B402" s="93"/>
      <c r="C402" s="412"/>
      <c r="D402" s="38"/>
      <c r="E402" s="38"/>
      <c r="F402" s="38"/>
      <c r="G402" s="38"/>
      <c r="H402" s="38"/>
      <c r="I402" s="38"/>
      <c r="J402" s="38"/>
      <c r="K402" s="38"/>
      <c r="L402" s="38"/>
      <c r="M402" s="38"/>
      <c r="N402" s="38"/>
      <c r="O402" s="421"/>
      <c r="P402" s="558"/>
      <c r="Q402" s="421"/>
      <c r="R402" s="39"/>
      <c r="S402" s="39"/>
      <c r="T402" s="39"/>
      <c r="U402" s="39"/>
    </row>
    <row r="403" spans="2:25" ht="22.5" customHeight="1">
      <c r="B403" s="25" t="str">
        <f>IF(Contents!$B$2=2,"Notes:","Примечания: ")</f>
        <v>Notes:</v>
      </c>
      <c r="C403" s="412"/>
      <c r="D403" s="38"/>
      <c r="E403" s="38"/>
      <c r="F403" s="38"/>
      <c r="G403" s="38"/>
      <c r="H403" s="38"/>
      <c r="I403" s="38"/>
      <c r="J403" s="38"/>
      <c r="K403" s="38"/>
      <c r="L403" s="38"/>
      <c r="M403" s="38"/>
      <c r="N403" s="38"/>
      <c r="O403" s="38"/>
      <c r="P403" s="558"/>
      <c r="Q403" s="38"/>
      <c r="R403" s="39"/>
      <c r="S403" s="39"/>
      <c r="T403" s="39"/>
      <c r="U403" s="39"/>
    </row>
    <row r="404" spans="2:25">
      <c r="B404" s="26" t="str">
        <f>IF(Contents!$B$2=2,C405, B405)</f>
        <v>As part of the Corporate Technical Competence Assessment System and the Steps in Discovering Talents program</v>
      </c>
      <c r="C404" s="53"/>
      <c r="D404" s="91"/>
      <c r="E404" s="91"/>
      <c r="F404" s="91"/>
      <c r="G404" s="38"/>
      <c r="H404" s="39"/>
      <c r="I404" s="589"/>
      <c r="J404" s="558"/>
      <c r="K404" s="589"/>
      <c r="L404" s="595"/>
      <c r="M404" s="595"/>
      <c r="N404" s="595"/>
      <c r="O404" s="22"/>
      <c r="P404" s="14"/>
      <c r="Q404" s="22"/>
      <c r="R404" s="14"/>
      <c r="S404" s="14"/>
      <c r="T404" s="14"/>
      <c r="U404" s="14"/>
      <c r="V404" s="14"/>
      <c r="W404" s="939"/>
      <c r="X404" s="14"/>
      <c r="Y404" s="14"/>
    </row>
    <row r="405" spans="2:25">
      <c r="B405" s="115" t="s">
        <v>193</v>
      </c>
      <c r="C405" s="115" t="s">
        <v>194</v>
      </c>
      <c r="D405" s="91"/>
      <c r="E405" s="91"/>
      <c r="F405" s="91"/>
      <c r="G405" s="38"/>
      <c r="H405" s="39"/>
      <c r="I405" s="589"/>
      <c r="J405" s="558"/>
      <c r="K405" s="589"/>
      <c r="L405" s="595"/>
      <c r="M405" s="595"/>
      <c r="N405" s="595"/>
      <c r="O405" s="22"/>
      <c r="P405" s="14"/>
      <c r="Q405" s="22"/>
      <c r="R405" s="14"/>
      <c r="S405" s="14"/>
      <c r="T405" s="14"/>
      <c r="U405" s="14"/>
      <c r="V405" s="14"/>
      <c r="W405" s="939"/>
      <c r="X405" s="14"/>
      <c r="Y405" s="14"/>
    </row>
    <row r="406" spans="2:25" ht="22.5" customHeight="1">
      <c r="B406" s="31"/>
      <c r="C406" s="31"/>
      <c r="D406" s="416"/>
      <c r="E406" s="416"/>
      <c r="F406" s="416"/>
      <c r="G406" s="416"/>
      <c r="H406" s="416"/>
      <c r="I406" s="417"/>
      <c r="J406" s="416"/>
      <c r="K406" s="416"/>
      <c r="L406" s="416"/>
      <c r="M406" s="416"/>
      <c r="N406" s="416"/>
      <c r="O406" s="32"/>
      <c r="P406" s="592"/>
      <c r="Q406" s="32"/>
      <c r="R406" s="592"/>
      <c r="S406" s="592"/>
      <c r="T406" s="592"/>
      <c r="U406" s="592"/>
      <c r="V406" s="592"/>
      <c r="W406" s="940"/>
      <c r="X406" s="592"/>
      <c r="Y406" s="592"/>
    </row>
    <row r="407" spans="2:25" ht="15" customHeight="1">
      <c r="B407" s="33"/>
    </row>
    <row r="408" spans="2:25" ht="24.95" customHeight="1">
      <c r="B408" s="141" t="str">
        <f>IF(Contents!$B$2=2,"For more information, see the Sustainable Development Reports for 2020-2025 (the Personnel chapter).","Для получения дополнительной информации см. Отчеты об устойчивом развитии за 2020-2025 гг. (глава «Персонал»).")</f>
        <v>For more information, see the Sustainable Development Reports for 2020-2025 (the Personnel chapter).</v>
      </c>
    </row>
    <row r="409" spans="2:25" ht="24.95" customHeight="1">
      <c r="B409" s="418" t="s">
        <v>140</v>
      </c>
      <c r="C409" s="419" t="s">
        <v>141</v>
      </c>
    </row>
    <row r="410" spans="2:25" ht="24.95" customHeight="1">
      <c r="B410" s="34"/>
    </row>
    <row r="411" spans="2:25" ht="24.95" customHeight="1">
      <c r="B411" s="34"/>
    </row>
    <row r="412" spans="2:25" ht="24.95" customHeight="1">
      <c r="B412" s="34"/>
    </row>
  </sheetData>
  <hyperlinks>
    <hyperlink ref="B3" location="Personnel!B8" display="Personnel!B8"/>
    <hyperlink ref="G4" location="Personnel!B315" display="Personnel!B315"/>
    <hyperlink ref="J3" location="Personnel!B347" display="Personnel!B347"/>
    <hyperlink ref="J4" location="Personnel!B382" display="Personnel!B382"/>
    <hyperlink ref="B408" r:id="rId1" display="https://www.novatek.ru/en/development/archive/"/>
    <hyperlink ref="B1" location="Contents!A1" display="← Back to Contents"/>
    <hyperlink ref="B4" location="Personnel!B111" display="Personnel!B111"/>
    <hyperlink ref="C3" location="Personnel!B188" display="Personnel!B188"/>
    <hyperlink ref="C4" location="Personnel!B197" display="Personnel!B197"/>
    <hyperlink ref="G3" location="Personnel!B233" display="Personnel!B23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S110"/>
  <sheetViews>
    <sheetView zoomScale="48" zoomScaleNormal="50" workbookViewId="0">
      <pane xSplit="1" ySplit="7" topLeftCell="B8" activePane="bottomRight" state="frozen"/>
      <selection pane="topRight" activeCell="B1" sqref="B1"/>
      <selection pane="bottomLeft" activeCell="A8" sqref="A8"/>
      <selection pane="bottomRight" activeCell="B18" sqref="B18"/>
    </sheetView>
  </sheetViews>
  <sheetFormatPr defaultColWidth="91" defaultRowHeight="18.75"/>
  <cols>
    <col min="1" max="1" width="17.8554687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4.140625" style="253" customWidth="1"/>
    <col min="16" max="16" width="15.42578125" style="606" customWidth="1"/>
    <col min="17" max="17" width="17.85546875" style="253" customWidth="1"/>
    <col min="18" max="20" width="20.42578125" style="606" customWidth="1"/>
    <col min="21" max="21" width="20.42578125" style="607" customWidth="1"/>
    <col min="22" max="22" width="5.42578125" style="606" customWidth="1"/>
    <col min="23" max="23" width="15.42578125" style="606" customWidth="1"/>
    <col min="24" max="24" width="5.85546875" style="606" customWidth="1"/>
    <col min="25" max="25" width="5.42578125" style="606" customWidth="1"/>
    <col min="26" max="26" width="50.42578125" style="617" hidden="1" customWidth="1"/>
    <col min="27" max="27" width="7" style="606" hidden="1" customWidth="1"/>
    <col min="28" max="251" width="8.42578125" style="43" customWidth="1"/>
    <col min="252" max="252" width="13.42578125" style="43" customWidth="1"/>
    <col min="253" max="16384" width="91" style="43"/>
  </cols>
  <sheetData>
    <row r="1" spans="1:253" ht="80.099999999999994" customHeight="1">
      <c r="A1" s="14"/>
      <c r="B1" s="487" t="s">
        <v>168</v>
      </c>
      <c r="C1" s="15"/>
      <c r="D1" s="16"/>
      <c r="E1" s="16"/>
      <c r="F1" s="16"/>
      <c r="G1" s="149"/>
      <c r="H1" s="16"/>
      <c r="I1" s="150"/>
      <c r="J1" s="16"/>
      <c r="K1" s="16"/>
      <c r="L1" s="16"/>
      <c r="M1" s="16"/>
      <c r="N1" s="16"/>
      <c r="O1" s="16"/>
      <c r="P1" s="589"/>
      <c r="Q1" s="16"/>
      <c r="R1" s="589"/>
      <c r="S1" s="589"/>
      <c r="T1" s="589"/>
      <c r="U1" s="589"/>
      <c r="V1" s="589"/>
      <c r="W1" s="589"/>
      <c r="X1" s="589"/>
      <c r="Y1" s="589"/>
      <c r="Z1" s="588"/>
      <c r="AA1" s="589"/>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row>
    <row r="2" spans="1:253">
      <c r="B2" s="18" t="str">
        <f>IF(Contents!$B$2=2,"CONTENTS","СОДЕРЖАНИЕ")</f>
        <v>CONTENTS</v>
      </c>
      <c r="C2" s="18"/>
      <c r="D2" s="18"/>
      <c r="E2" s="18"/>
      <c r="F2" s="18"/>
      <c r="G2" s="18"/>
      <c r="H2" s="18"/>
      <c r="I2" s="18"/>
      <c r="J2" s="18"/>
      <c r="K2" s="18"/>
      <c r="L2" s="18"/>
      <c r="M2" s="18"/>
      <c r="N2" s="18"/>
      <c r="O2" s="422"/>
      <c r="P2" s="633"/>
      <c r="Q2" s="510"/>
      <c r="R2" s="633"/>
      <c r="S2" s="633"/>
      <c r="T2" s="633"/>
      <c r="U2" s="633"/>
      <c r="V2" s="633"/>
      <c r="W2" s="633"/>
      <c r="X2" s="633"/>
      <c r="Y2" s="633"/>
      <c r="Z2" s="639"/>
    </row>
    <row r="3" spans="1:253">
      <c r="B3" s="568" t="str">
        <f>IF(Contents!$B$2=2,"Occupational health and safety (OHS)","Охрана труда и промышленная безопасность (ОТиПБ)")</f>
        <v>Occupational health and safety (OHS)</v>
      </c>
      <c r="C3" s="509"/>
      <c r="D3" s="509"/>
      <c r="E3" s="509"/>
      <c r="F3" s="509"/>
      <c r="G3" s="441"/>
      <c r="H3" s="441"/>
      <c r="I3" s="441"/>
      <c r="J3" s="441"/>
      <c r="K3" s="441"/>
      <c r="L3" s="441"/>
      <c r="M3" s="441"/>
      <c r="N3" s="441"/>
      <c r="O3" s="510"/>
      <c r="P3" s="634"/>
      <c r="Q3" s="510"/>
      <c r="R3" s="634"/>
      <c r="S3" s="634"/>
      <c r="T3" s="634"/>
      <c r="U3" s="634"/>
      <c r="V3" s="634"/>
      <c r="W3" s="634"/>
      <c r="X3" s="634"/>
      <c r="Y3" s="634"/>
      <c r="Z3" s="640"/>
    </row>
    <row r="4" spans="1:253">
      <c r="B4" s="492"/>
      <c r="C4" s="509"/>
      <c r="D4" s="509"/>
      <c r="E4" s="509"/>
      <c r="F4" s="509"/>
      <c r="G4" s="441"/>
      <c r="H4" s="441"/>
      <c r="I4" s="441"/>
      <c r="J4" s="441"/>
      <c r="K4" s="441"/>
      <c r="L4" s="441"/>
      <c r="M4" s="441"/>
      <c r="N4" s="441"/>
      <c r="O4" s="510"/>
      <c r="P4" s="634"/>
      <c r="Q4" s="510"/>
      <c r="R4" s="634"/>
      <c r="S4" s="634"/>
      <c r="T4" s="634"/>
      <c r="U4" s="634"/>
      <c r="V4" s="634"/>
      <c r="W4" s="634"/>
      <c r="X4" s="634"/>
      <c r="Y4" s="634"/>
      <c r="Z4" s="640"/>
    </row>
    <row r="5" spans="1:253">
      <c r="B5" s="490"/>
      <c r="C5" s="491"/>
      <c r="D5" s="491"/>
      <c r="E5" s="491"/>
      <c r="F5" s="491"/>
      <c r="G5" s="423"/>
      <c r="H5" s="423"/>
      <c r="I5" s="423"/>
      <c r="J5" s="423"/>
      <c r="K5" s="423"/>
      <c r="L5" s="423"/>
      <c r="M5" s="423"/>
      <c r="N5" s="423"/>
      <c r="O5" s="423"/>
      <c r="P5" s="635"/>
      <c r="Q5" s="931"/>
      <c r="R5" s="635"/>
      <c r="S5" s="635"/>
      <c r="T5" s="635"/>
      <c r="U5" s="635"/>
      <c r="V5" s="635"/>
      <c r="W5" s="635"/>
      <c r="X5" s="635"/>
      <c r="Y5" s="635"/>
      <c r="Z5" s="641"/>
    </row>
    <row r="6" spans="1:253" ht="30">
      <c r="A6" s="14"/>
      <c r="B6" s="424" t="str">
        <f>IF(Contents!$B$2=2,"Occupational health and safety (OHS)","Охрана труда и промышленная безопасность (ОТиПБ)")</f>
        <v>Occupational health and safety (OHS)</v>
      </c>
      <c r="C6" s="424"/>
      <c r="D6" s="425"/>
      <c r="E6" s="426"/>
      <c r="F6" s="427"/>
      <c r="G6" s="428"/>
      <c r="H6" s="428"/>
      <c r="I6" s="428"/>
      <c r="J6" s="429"/>
      <c r="K6" s="430"/>
      <c r="L6" s="430"/>
      <c r="M6" s="430"/>
      <c r="N6" s="430"/>
      <c r="O6" s="423"/>
      <c r="P6" s="636"/>
      <c r="Q6" s="932"/>
      <c r="R6" s="676"/>
      <c r="S6" s="676"/>
      <c r="T6" s="676"/>
      <c r="U6" s="676"/>
      <c r="V6" s="589"/>
      <c r="W6" s="636"/>
      <c r="X6" s="589"/>
      <c r="Y6" s="589"/>
      <c r="Z6" s="636"/>
      <c r="AA6" s="58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row>
    <row r="7" spans="1:253" ht="54.95" customHeight="1">
      <c r="A7" s="14"/>
      <c r="B7" s="18"/>
      <c r="C7" s="431"/>
      <c r="D7" s="270">
        <v>2015</v>
      </c>
      <c r="E7" s="270">
        <v>2016</v>
      </c>
      <c r="F7" s="270">
        <v>2017</v>
      </c>
      <c r="G7" s="271">
        <v>2018</v>
      </c>
      <c r="H7" s="271">
        <v>2019</v>
      </c>
      <c r="I7" s="271">
        <v>2020</v>
      </c>
      <c r="J7" s="270">
        <v>2021</v>
      </c>
      <c r="K7" s="270">
        <v>2022</v>
      </c>
      <c r="L7" s="270">
        <v>2023</v>
      </c>
      <c r="M7" s="270">
        <v>2024</v>
      </c>
      <c r="N7" s="270">
        <v>2025</v>
      </c>
      <c r="O7" s="423"/>
      <c r="P7" s="586" t="str">
        <f>IF(Contents!$B$2=2,"Subject to external assurance in 2025","Внешний аудит в 2025 г.")</f>
        <v>Subject to external assurance in 2025</v>
      </c>
      <c r="Q7" s="930"/>
      <c r="R7" s="602" t="str">
        <f>IF(Contents!$B$2=2,"GRI Disclosure, including GRI 11: Oil and Gas Sector","Индексы Стандартов GRI, в т.ч. GRI 11: Oil and Gas Sector")</f>
        <v>GRI Disclosure, including GRI 11: Oil and Gas Sector</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586" t="str">
        <f>IF(Contents!$B$2=2,"Report scope","Границы отчетности")</f>
        <v>Report scope</v>
      </c>
      <c r="X7" s="504"/>
      <c r="Y7" s="504"/>
      <c r="Z7" s="586" t="str">
        <f>IF(Contents!$B$2=2,"Data source","Источник данных")</f>
        <v>Data source</v>
      </c>
      <c r="AA7" s="50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row>
    <row r="8" spans="1:253" ht="20.100000000000001" customHeight="1">
      <c r="B8" s="18" t="str">
        <f>IF(Contents!$B$2=2,"Occuptaional health and safety (OHS)","Охрана труда и промышленная безопасность (ОТиПБ)")</f>
        <v>Occuptaional health and safety (OHS)</v>
      </c>
      <c r="C8" s="18"/>
      <c r="D8" s="18"/>
      <c r="E8" s="18"/>
      <c r="F8" s="18"/>
      <c r="G8" s="18"/>
      <c r="H8" s="18"/>
      <c r="I8" s="18"/>
      <c r="J8" s="18"/>
      <c r="K8" s="18"/>
      <c r="L8" s="18"/>
      <c r="M8" s="18"/>
      <c r="N8" s="18"/>
      <c r="O8" s="423"/>
      <c r="Q8" s="932"/>
    </row>
    <row r="9" spans="1:253">
      <c r="B9" s="75" t="str">
        <f>IF(Contents!$B$2=2,"Work-related injury rates at the NOVATEK Group","Коэффициенты производственного травматизма по Группе")</f>
        <v>Work-related injury rates at the NOVATEK Group</v>
      </c>
      <c r="C9" s="432"/>
      <c r="D9" s="433"/>
      <c r="E9" s="433"/>
      <c r="F9" s="433"/>
      <c r="G9" s="433"/>
      <c r="H9" s="433"/>
      <c r="I9" s="433"/>
      <c r="J9" s="433"/>
      <c r="K9" s="433"/>
      <c r="L9" s="433"/>
      <c r="M9" s="433"/>
      <c r="N9" s="433"/>
      <c r="O9" s="423"/>
      <c r="P9" s="56"/>
      <c r="Q9" s="56"/>
      <c r="R9" s="56"/>
      <c r="S9" s="56"/>
      <c r="T9" s="56"/>
      <c r="U9" s="60"/>
      <c r="V9" s="56"/>
      <c r="W9" s="56"/>
      <c r="X9" s="56"/>
      <c r="Z9" s="297"/>
    </row>
    <row r="10" spans="1:253">
      <c r="B10" s="23" t="str">
        <f>IF(Contents!$B$2=2,"per 1,000,000 hours worked","на 1 млн отработанных часов")</f>
        <v>per 1,000,000 hours worked</v>
      </c>
      <c r="C10" s="77"/>
      <c r="D10" s="513"/>
      <c r="E10" s="513"/>
      <c r="F10" s="513"/>
      <c r="G10" s="513"/>
      <c r="H10" s="513"/>
      <c r="I10" s="513"/>
      <c r="J10" s="513"/>
      <c r="K10" s="513"/>
      <c r="L10" s="513"/>
      <c r="M10" s="513"/>
      <c r="N10" s="513"/>
      <c r="O10" s="423"/>
      <c r="P10" s="56"/>
      <c r="Q10" s="932"/>
      <c r="R10" s="56"/>
      <c r="S10" s="56"/>
      <c r="T10" s="56"/>
      <c r="U10" s="60"/>
      <c r="V10" s="56"/>
      <c r="W10" s="56"/>
      <c r="X10" s="56"/>
      <c r="Z10" s="297"/>
    </row>
    <row r="11" spans="1:253" ht="25.5">
      <c r="B11" s="93" t="str">
        <f>IF(Contents!$B$2=2,"TRIR","TRIR")</f>
        <v>TRIR</v>
      </c>
      <c r="C11" s="434" t="str">
        <f>IF(Contents!$B$2=2,"rate","коэффициент")</f>
        <v>rate</v>
      </c>
      <c r="D11" s="435" t="s">
        <v>185</v>
      </c>
      <c r="E11" s="435" t="s">
        <v>185</v>
      </c>
      <c r="F11" s="435" t="s">
        <v>185</v>
      </c>
      <c r="G11" s="435" t="s">
        <v>185</v>
      </c>
      <c r="H11" s="435" t="s">
        <v>185</v>
      </c>
      <c r="I11" s="435" t="s">
        <v>185</v>
      </c>
      <c r="J11" s="435" t="s">
        <v>185</v>
      </c>
      <c r="K11" s="435" t="s">
        <v>3</v>
      </c>
      <c r="L11" s="435">
        <v>0.8</v>
      </c>
      <c r="M11" s="435">
        <v>1.3</v>
      </c>
      <c r="N11" s="24">
        <v>0.95</v>
      </c>
      <c r="O11" s="436"/>
      <c r="P11" s="598" t="str">
        <f>IF(Contents!$B$2=2,"Yes","Да")</f>
        <v>Yes</v>
      </c>
      <c r="Q11" s="436"/>
      <c r="R11" s="297" t="s">
        <v>143</v>
      </c>
      <c r="S11" s="56" t="s">
        <v>144</v>
      </c>
      <c r="T11" s="56" t="s">
        <v>145</v>
      </c>
      <c r="U11" s="60"/>
      <c r="V11" s="56"/>
      <c r="W11" s="598">
        <v>1</v>
      </c>
      <c r="X11" s="56"/>
      <c r="Z11" s="297" t="s">
        <v>174</v>
      </c>
    </row>
    <row r="12" spans="1:253" ht="25.5">
      <c r="B12" s="93" t="str">
        <f>IF(Contents!$B$2=2,"High-consequence work-related injuries rate","Коэффициент тяжелого травматизма")</f>
        <v>High-consequence work-related injuries rate</v>
      </c>
      <c r="C12" s="434" t="str">
        <f>IF(Contents!$B$2=2,"rate","коэффициент")</f>
        <v>rate</v>
      </c>
      <c r="D12" s="435" t="s">
        <v>185</v>
      </c>
      <c r="E12" s="435" t="s">
        <v>185</v>
      </c>
      <c r="F12" s="435" t="s">
        <v>185</v>
      </c>
      <c r="G12" s="435" t="s">
        <v>185</v>
      </c>
      <c r="H12" s="435">
        <v>0.05</v>
      </c>
      <c r="I12" s="435">
        <v>0.08</v>
      </c>
      <c r="J12" s="435">
        <v>0.04</v>
      </c>
      <c r="K12" s="435">
        <v>0.03</v>
      </c>
      <c r="L12" s="435">
        <v>0.03</v>
      </c>
      <c r="M12" s="435">
        <v>0</v>
      </c>
      <c r="N12" s="24">
        <v>0.05</v>
      </c>
      <c r="O12" s="58"/>
      <c r="P12" s="598" t="str">
        <f>IF(Contents!$B$2=2,"Yes","Да")</f>
        <v>Yes</v>
      </c>
      <c r="Q12" s="436"/>
      <c r="R12" s="297" t="s">
        <v>143</v>
      </c>
      <c r="S12" s="56"/>
      <c r="T12" s="56"/>
      <c r="U12" s="60"/>
      <c r="V12" s="56"/>
      <c r="W12" s="598">
        <v>1</v>
      </c>
      <c r="X12" s="56"/>
      <c r="Z12" s="297" t="s">
        <v>174</v>
      </c>
    </row>
    <row r="13" spans="1:253" ht="25.5">
      <c r="B13" s="93" t="str">
        <f>IF(Contents!$B$2=2,"FR","FR")</f>
        <v>FR</v>
      </c>
      <c r="C13" s="434" t="str">
        <f>IF(Contents!$B$2=2,"rate","коэффициент")</f>
        <v>rate</v>
      </c>
      <c r="D13" s="435" t="s">
        <v>185</v>
      </c>
      <c r="E13" s="435" t="s">
        <v>185</v>
      </c>
      <c r="F13" s="435" t="s">
        <v>185</v>
      </c>
      <c r="G13" s="435" t="s">
        <v>185</v>
      </c>
      <c r="H13" s="435">
        <v>0</v>
      </c>
      <c r="I13" s="435">
        <v>0</v>
      </c>
      <c r="J13" s="435">
        <v>7.0000000000000007E-2</v>
      </c>
      <c r="K13" s="435">
        <v>0.03</v>
      </c>
      <c r="L13" s="435">
        <v>0.06</v>
      </c>
      <c r="M13" s="435">
        <v>0.05</v>
      </c>
      <c r="N13" s="24">
        <v>0</v>
      </c>
      <c r="O13" s="64"/>
      <c r="P13" s="598" t="str">
        <f>IF(Contents!$B$2=2,"Yes","Да")</f>
        <v>Yes</v>
      </c>
      <c r="Q13" s="436"/>
      <c r="R13" s="297" t="s">
        <v>143</v>
      </c>
      <c r="S13" s="56" t="s">
        <v>144</v>
      </c>
      <c r="T13" s="56" t="s">
        <v>145</v>
      </c>
      <c r="U13" s="60"/>
      <c r="V13" s="56"/>
      <c r="W13" s="598">
        <v>1</v>
      </c>
      <c r="X13" s="56"/>
      <c r="Z13" s="297" t="s">
        <v>174</v>
      </c>
    </row>
    <row r="14" spans="1:253" ht="25.5">
      <c r="B14" s="93" t="str">
        <f>IF(Contents!$B$2=2,"LTIFR","LTIFR")</f>
        <v>LTIFR</v>
      </c>
      <c r="C14" s="434" t="str">
        <f>IF(Contents!$B$2=2,"rate","коэффициент")</f>
        <v>rate</v>
      </c>
      <c r="D14" s="435" t="s">
        <v>185</v>
      </c>
      <c r="E14" s="435" t="s">
        <v>185</v>
      </c>
      <c r="F14" s="435" t="s">
        <v>185</v>
      </c>
      <c r="G14" s="435" t="s">
        <v>185</v>
      </c>
      <c r="H14" s="435">
        <v>0.05</v>
      </c>
      <c r="I14" s="435">
        <v>0.45</v>
      </c>
      <c r="J14" s="435">
        <v>0.64</v>
      </c>
      <c r="K14" s="435">
        <v>0.4</v>
      </c>
      <c r="L14" s="435">
        <v>0.28000000000000003</v>
      </c>
      <c r="M14" s="435">
        <v>0.26</v>
      </c>
      <c r="N14" s="24">
        <v>0.19</v>
      </c>
      <c r="O14" s="64"/>
      <c r="P14" s="598" t="str">
        <f>IF(Contents!$B$2=2,"Yes","Да")</f>
        <v>Yes</v>
      </c>
      <c r="Q14" s="436"/>
      <c r="R14" s="56"/>
      <c r="S14" s="56"/>
      <c r="T14" s="56" t="s">
        <v>145</v>
      </c>
      <c r="U14" s="273" t="str">
        <f>IF(Contents!$B$2=2,"PBCS 29","СОКБ 29")</f>
        <v>PBCS 29</v>
      </c>
      <c r="V14" s="56"/>
      <c r="W14" s="598">
        <v>1</v>
      </c>
      <c r="X14" s="56"/>
      <c r="Z14" s="297" t="s">
        <v>174</v>
      </c>
    </row>
    <row r="15" spans="1:253">
      <c r="B15" s="23" t="str">
        <f>IF(Contents!$B$2=2,"per 200,000 hours worked","на 200 тыс. отработанных часов")</f>
        <v>per 200,000 hours worked</v>
      </c>
      <c r="C15" s="77"/>
      <c r="D15" s="513"/>
      <c r="E15" s="513"/>
      <c r="F15" s="513"/>
      <c r="G15" s="513"/>
      <c r="H15" s="513"/>
      <c r="I15" s="513"/>
      <c r="J15" s="513"/>
      <c r="K15" s="513"/>
      <c r="L15" s="513"/>
      <c r="M15" s="513"/>
      <c r="N15" s="513"/>
      <c r="O15" s="58"/>
      <c r="P15" s="56"/>
      <c r="Q15" s="436"/>
      <c r="R15" s="56"/>
      <c r="S15" s="56"/>
      <c r="T15" s="56"/>
      <c r="U15" s="60"/>
      <c r="V15" s="56"/>
      <c r="W15" s="56"/>
      <c r="X15" s="56"/>
      <c r="Z15" s="297"/>
    </row>
    <row r="16" spans="1:253" ht="25.5">
      <c r="B16" s="93" t="str">
        <f>IF(Contents!$B$2=2,"TRIR","TRIR")</f>
        <v>TRIR</v>
      </c>
      <c r="C16" s="434" t="str">
        <f>IF(Contents!$B$2=2,"rate","коэффициент")</f>
        <v>rate</v>
      </c>
      <c r="D16" s="435" t="s">
        <v>185</v>
      </c>
      <c r="E16" s="435" t="s">
        <v>185</v>
      </c>
      <c r="F16" s="435" t="s">
        <v>185</v>
      </c>
      <c r="G16" s="435" t="s">
        <v>185</v>
      </c>
      <c r="H16" s="435" t="s">
        <v>185</v>
      </c>
      <c r="I16" s="435" t="s">
        <v>185</v>
      </c>
      <c r="J16" s="435" t="s">
        <v>185</v>
      </c>
      <c r="K16" s="435" t="s">
        <v>185</v>
      </c>
      <c r="L16" s="437">
        <v>0.159</v>
      </c>
      <c r="M16" s="437">
        <v>0.25900000000000001</v>
      </c>
      <c r="N16" s="438">
        <v>0.191</v>
      </c>
      <c r="O16" s="436"/>
      <c r="P16" s="598" t="str">
        <f>IF(Contents!$B$2=2,"Yes","Да")</f>
        <v>Yes</v>
      </c>
      <c r="Q16" s="436"/>
      <c r="R16" s="297" t="s">
        <v>143</v>
      </c>
      <c r="S16" s="56" t="s">
        <v>144</v>
      </c>
      <c r="T16" s="56" t="s">
        <v>145</v>
      </c>
      <c r="U16" s="60"/>
      <c r="V16" s="56"/>
      <c r="W16" s="598">
        <v>1</v>
      </c>
      <c r="X16" s="56"/>
      <c r="Z16" s="297" t="s">
        <v>174</v>
      </c>
    </row>
    <row r="17" spans="2:26" ht="24" customHeight="1">
      <c r="B17" s="93" t="str">
        <f>IF(Contents!$B$2=2,"High-consequence work-related injuries rate","Коэффициент тяжелого травматизма")</f>
        <v>High-consequence work-related injuries rate</v>
      </c>
      <c r="C17" s="434" t="str">
        <f>IF(Contents!$B$2=2,"rate","коэффициент")</f>
        <v>rate</v>
      </c>
      <c r="D17" s="435" t="s">
        <v>185</v>
      </c>
      <c r="E17" s="435" t="s">
        <v>185</v>
      </c>
      <c r="F17" s="435" t="s">
        <v>185</v>
      </c>
      <c r="G17" s="435" t="s">
        <v>185</v>
      </c>
      <c r="H17" s="437">
        <v>8.9999999999999993E-3</v>
      </c>
      <c r="I17" s="437">
        <v>1.4999999999999999E-2</v>
      </c>
      <c r="J17" s="437">
        <v>7.0000000000000001E-3</v>
      </c>
      <c r="K17" s="437">
        <v>7.0000000000000001E-3</v>
      </c>
      <c r="L17" s="437">
        <v>6.0000000000000001E-3</v>
      </c>
      <c r="M17" s="437">
        <v>0</v>
      </c>
      <c r="N17" s="438">
        <v>1.0999999999999999E-2</v>
      </c>
      <c r="O17" s="58"/>
      <c r="P17" s="598" t="str">
        <f>IF(Contents!$B$2=2,"Yes","Да")</f>
        <v>Yes</v>
      </c>
      <c r="Q17" s="436"/>
      <c r="R17" s="297" t="s">
        <v>143</v>
      </c>
      <c r="S17" s="56"/>
      <c r="T17" s="56"/>
      <c r="U17" s="60"/>
      <c r="V17" s="56"/>
      <c r="W17" s="598">
        <v>1</v>
      </c>
      <c r="X17" s="56"/>
      <c r="Z17" s="297" t="s">
        <v>174</v>
      </c>
    </row>
    <row r="18" spans="2:26" ht="25.5">
      <c r="B18" s="93" t="str">
        <f>IF(Contents!$B$2=2,"FR","FR")</f>
        <v>FR</v>
      </c>
      <c r="C18" s="434" t="str">
        <f>IF(Contents!$B$2=2,"rate","коэффициент")</f>
        <v>rate</v>
      </c>
      <c r="D18" s="435" t="s">
        <v>185</v>
      </c>
      <c r="E18" s="435" t="s">
        <v>185</v>
      </c>
      <c r="F18" s="435" t="s">
        <v>185</v>
      </c>
      <c r="G18" s="435" t="s">
        <v>185</v>
      </c>
      <c r="H18" s="437">
        <v>0</v>
      </c>
      <c r="I18" s="437">
        <v>0</v>
      </c>
      <c r="J18" s="437">
        <v>1.4E-2</v>
      </c>
      <c r="K18" s="437">
        <v>7.0000000000000001E-3</v>
      </c>
      <c r="L18" s="437">
        <v>1.2E-2</v>
      </c>
      <c r="M18" s="437">
        <v>1.0999999999999999E-2</v>
      </c>
      <c r="N18" s="438">
        <v>0</v>
      </c>
      <c r="O18" s="64"/>
      <c r="P18" s="598" t="str">
        <f>IF(Contents!$B$2=2,"Yes","Да")</f>
        <v>Yes</v>
      </c>
      <c r="Q18" s="436"/>
      <c r="R18" s="297" t="s">
        <v>143</v>
      </c>
      <c r="S18" s="56" t="s">
        <v>144</v>
      </c>
      <c r="T18" s="56" t="s">
        <v>145</v>
      </c>
      <c r="U18" s="60"/>
      <c r="V18" s="56"/>
      <c r="W18" s="598">
        <v>1</v>
      </c>
      <c r="X18" s="56"/>
      <c r="Z18" s="297" t="s">
        <v>180</v>
      </c>
    </row>
    <row r="19" spans="2:26" ht="25.5">
      <c r="B19" s="93" t="str">
        <f>IF(Contents!$B$2=2,"LTIFR","LTIFR")</f>
        <v>LTIFR</v>
      </c>
      <c r="C19" s="434" t="str">
        <f>IF(Contents!$B$2=2,"rate","коэффициент")</f>
        <v>rate</v>
      </c>
      <c r="D19" s="435" t="s">
        <v>185</v>
      </c>
      <c r="E19" s="435" t="s">
        <v>185</v>
      </c>
      <c r="F19" s="435" t="s">
        <v>185</v>
      </c>
      <c r="G19" s="435" t="s">
        <v>185</v>
      </c>
      <c r="H19" s="437">
        <v>8.9999999999999993E-3</v>
      </c>
      <c r="I19" s="437">
        <v>0.09</v>
      </c>
      <c r="J19" s="437">
        <v>0.128</v>
      </c>
      <c r="K19" s="437">
        <v>0.08</v>
      </c>
      <c r="L19" s="437">
        <v>5.5E-2</v>
      </c>
      <c r="M19" s="437">
        <v>5.2999999999999999E-2</v>
      </c>
      <c r="N19" s="438">
        <v>3.6999999999999998E-2</v>
      </c>
      <c r="O19" s="886"/>
      <c r="P19" s="598" t="str">
        <f>IF(Contents!$B$2=2,"Yes","Да")</f>
        <v>Yes</v>
      </c>
      <c r="Q19" s="436"/>
      <c r="R19" s="56"/>
      <c r="S19" s="56"/>
      <c r="T19" s="56" t="s">
        <v>145</v>
      </c>
      <c r="U19" s="60"/>
      <c r="V19" s="56"/>
      <c r="W19" s="598">
        <v>1</v>
      </c>
      <c r="X19" s="56"/>
      <c r="Z19" s="297" t="s">
        <v>174</v>
      </c>
    </row>
    <row r="20" spans="2:26" ht="25.5">
      <c r="B20" s="93" t="str">
        <f>IF(Contents!$B$2=2,"NMFR","NMFR")</f>
        <v>NMFR</v>
      </c>
      <c r="C20" s="434" t="str">
        <f>IF(Contents!$B$2=2,"rate","коэффициент")</f>
        <v>rate</v>
      </c>
      <c r="D20" s="435" t="s">
        <v>185</v>
      </c>
      <c r="E20" s="435" t="s">
        <v>185</v>
      </c>
      <c r="F20" s="435" t="s">
        <v>185</v>
      </c>
      <c r="G20" s="435" t="s">
        <v>185</v>
      </c>
      <c r="H20" s="435" t="s">
        <v>185</v>
      </c>
      <c r="I20" s="435" t="s">
        <v>185</v>
      </c>
      <c r="J20" s="435" t="s">
        <v>185</v>
      </c>
      <c r="K20" s="435" t="s">
        <v>185</v>
      </c>
      <c r="L20" s="439">
        <v>0.251</v>
      </c>
      <c r="M20" s="439">
        <v>2.5999999999999999E-2</v>
      </c>
      <c r="N20" s="199" t="s">
        <v>136</v>
      </c>
      <c r="P20" s="598" t="str">
        <f>IF(Contents!$B$2=2,"Yes","Да")</f>
        <v>Yes</v>
      </c>
      <c r="Q20" s="436"/>
      <c r="S20" s="56" t="s">
        <v>144</v>
      </c>
      <c r="V20" s="56"/>
      <c r="W20" s="598">
        <v>1</v>
      </c>
      <c r="X20" s="56"/>
      <c r="Z20" s="297" t="s">
        <v>174</v>
      </c>
    </row>
    <row r="21" spans="2:26">
      <c r="B21" s="440"/>
      <c r="C21" s="434"/>
      <c r="D21" s="511"/>
      <c r="E21" s="511"/>
      <c r="F21" s="511"/>
      <c r="G21" s="511"/>
      <c r="H21" s="511"/>
      <c r="I21" s="512"/>
      <c r="J21" s="511"/>
      <c r="K21" s="511"/>
      <c r="L21" s="511"/>
      <c r="M21" s="511"/>
      <c r="N21" s="511"/>
      <c r="S21" s="56"/>
      <c r="V21" s="56"/>
      <c r="W21" s="56"/>
      <c r="X21" s="56"/>
    </row>
    <row r="22" spans="2:26" ht="17.25" customHeight="1">
      <c r="B22" s="25" t="str">
        <f>IF(Contents!$B$2=2,"Notes:","Примечания:")</f>
        <v>Notes:</v>
      </c>
      <c r="C22" s="61"/>
      <c r="D22" s="62"/>
      <c r="E22" s="62"/>
      <c r="F22" s="62"/>
      <c r="G22" s="62"/>
      <c r="H22" s="62"/>
      <c r="I22" s="62"/>
      <c r="J22" s="62"/>
      <c r="K22" s="62"/>
      <c r="L22" s="62"/>
      <c r="M22" s="62"/>
      <c r="N22" s="63"/>
      <c r="O22" s="59"/>
      <c r="P22" s="56"/>
      <c r="Q22" s="59"/>
      <c r="R22" s="56"/>
      <c r="S22" s="56"/>
      <c r="T22" s="56"/>
      <c r="U22" s="60"/>
      <c r="V22" s="56"/>
      <c r="W22" s="56"/>
      <c r="X22" s="56"/>
      <c r="Z22" s="297"/>
    </row>
    <row r="23" spans="2:26" ht="4.5" hidden="1" customHeight="1">
      <c r="B23" s="26" t="str">
        <f>IF(Contents!$B$2=2, C28, B28)</f>
        <v>Total recordable injury rate (TRIR) = Number of work-related injuries (including microtraumas) and fatalities x 1 million or 200,000 man-hours / Number of hours worked by all employees. First-aid-only cases are not taken into account when calculating the rate in accordance with GRI requirements.</v>
      </c>
      <c r="C23" s="61"/>
      <c r="D23" s="66"/>
      <c r="E23" s="66"/>
      <c r="F23" s="66"/>
      <c r="G23" s="66"/>
      <c r="H23" s="66"/>
      <c r="I23" s="66"/>
      <c r="J23" s="66"/>
      <c r="K23" s="66"/>
      <c r="L23" s="66"/>
      <c r="M23" s="66"/>
      <c r="N23" s="66"/>
      <c r="O23" s="59"/>
      <c r="P23" s="56"/>
      <c r="Q23" s="59"/>
      <c r="R23" s="56"/>
      <c r="S23" s="56"/>
      <c r="T23" s="56"/>
      <c r="U23" s="60"/>
      <c r="V23" s="56"/>
      <c r="W23" s="56"/>
      <c r="X23" s="56"/>
      <c r="Z23" s="297"/>
    </row>
    <row r="24" spans="2:26">
      <c r="B24" s="26" t="str">
        <f>IF(Contents!$B$2=2, E28, D28)</f>
        <v>High-consequence work-related injuries rate = Number of high-consequence work-related injuries (excluding fatalities) x 1 million or 200,000 man-hours / Number of hours worked by all employees.</v>
      </c>
      <c r="C24" s="26"/>
      <c r="D24" s="66"/>
      <c r="E24" s="66"/>
      <c r="F24" s="66"/>
      <c r="G24" s="66"/>
      <c r="H24" s="66"/>
      <c r="I24" s="66"/>
      <c r="J24" s="66"/>
      <c r="K24" s="66"/>
      <c r="L24" s="66"/>
      <c r="M24" s="66"/>
      <c r="N24" s="66"/>
      <c r="O24" s="59"/>
      <c r="P24" s="56"/>
      <c r="Q24" s="59"/>
      <c r="R24" s="56"/>
      <c r="S24" s="56"/>
      <c r="T24" s="56"/>
      <c r="U24" s="60"/>
      <c r="V24" s="56"/>
      <c r="W24" s="56"/>
      <c r="X24" s="56"/>
      <c r="Z24" s="297"/>
    </row>
    <row r="25" spans="2:26">
      <c r="B25" s="26" t="str">
        <f>IF(Contents!$B$2=2, G28, F28)</f>
        <v>Fatalities rate (FR) = Number of fatalities as a result of work-related injury x 1 million or 200,000 man-hours / Number of hours worked by all employees.</v>
      </c>
      <c r="C25" s="26"/>
      <c r="D25" s="66"/>
      <c r="E25" s="66"/>
      <c r="F25" s="66"/>
      <c r="G25" s="66"/>
      <c r="H25" s="66"/>
      <c r="I25" s="66"/>
      <c r="J25" s="66"/>
      <c r="K25" s="66"/>
      <c r="L25" s="66"/>
      <c r="M25" s="66"/>
      <c r="N25" s="66"/>
      <c r="O25" s="59"/>
      <c r="P25" s="56"/>
      <c r="Q25" s="59"/>
      <c r="R25" s="56"/>
      <c r="S25" s="56"/>
      <c r="T25" s="56"/>
      <c r="U25" s="60"/>
      <c r="V25" s="56"/>
      <c r="W25" s="56"/>
      <c r="X25" s="56"/>
      <c r="Z25" s="297"/>
    </row>
    <row r="26" spans="2:26">
      <c r="B26" s="26" t="str">
        <f>IF(Contents!$B$2=2, I28, H28)</f>
        <v>Lost time injury frequency rate (LTIFR) = Number of work-related lost time injuries (including fatalities) x 1 million or 200,000 man-hours / Number of hours worked by all employees.</v>
      </c>
      <c r="C26" s="26"/>
      <c r="D26" s="66"/>
      <c r="E26" s="66"/>
      <c r="F26" s="66"/>
      <c r="G26" s="66"/>
      <c r="H26" s="66"/>
      <c r="I26" s="66"/>
      <c r="J26" s="66"/>
      <c r="K26" s="66"/>
      <c r="L26" s="66"/>
      <c r="M26" s="66"/>
      <c r="N26" s="66"/>
      <c r="O26" s="59"/>
      <c r="P26" s="56"/>
      <c r="Q26" s="59"/>
      <c r="R26" s="56"/>
      <c r="S26" s="56"/>
      <c r="T26" s="56"/>
      <c r="U26" s="60"/>
      <c r="V26" s="56"/>
      <c r="W26" s="56"/>
      <c r="X26" s="56"/>
      <c r="Z26" s="297"/>
    </row>
    <row r="27" spans="2:26">
      <c r="B27" s="26" t="str">
        <f>IF(Contents!$B$2=2, K28, J28)</f>
        <v>Near miss frequency rate (NMFR) = Number of work-related near miss x 200,000 man-hours / Number of hours worked by all employees. Due to the lack of a unified methodology for calculating the indicator, the indicator was not calculated in the 2025.</v>
      </c>
      <c r="C27" s="26"/>
      <c r="D27" s="66"/>
      <c r="E27" s="66"/>
      <c r="F27" s="66"/>
      <c r="G27" s="66"/>
      <c r="H27" s="66"/>
      <c r="I27" s="66"/>
      <c r="J27" s="66"/>
      <c r="K27" s="66"/>
      <c r="L27" s="66"/>
      <c r="M27" s="66"/>
      <c r="N27" s="66"/>
      <c r="O27" s="59"/>
      <c r="P27" s="56"/>
      <c r="Q27" s="59"/>
      <c r="R27" s="56"/>
      <c r="S27" s="56"/>
      <c r="T27" s="56"/>
      <c r="U27" s="60"/>
      <c r="V27" s="56"/>
      <c r="W27" s="56"/>
      <c r="X27" s="56"/>
      <c r="Z27" s="297"/>
    </row>
    <row r="28" spans="2:26">
      <c r="B28" s="441"/>
      <c r="C28" s="442" t="s">
        <v>146</v>
      </c>
      <c r="D28" s="59" t="s">
        <v>147</v>
      </c>
      <c r="E28" s="59" t="s">
        <v>148</v>
      </c>
      <c r="F28" s="59" t="s">
        <v>149</v>
      </c>
      <c r="G28" s="59" t="s">
        <v>150</v>
      </c>
      <c r="H28" s="59" t="s">
        <v>151</v>
      </c>
      <c r="I28" s="59" t="s">
        <v>152</v>
      </c>
      <c r="J28" s="59" t="s">
        <v>240</v>
      </c>
      <c r="K28" s="59" t="s">
        <v>234</v>
      </c>
      <c r="L28" s="59"/>
      <c r="M28" s="59"/>
      <c r="N28" s="59"/>
      <c r="O28" s="59"/>
      <c r="P28" s="56"/>
      <c r="Q28" s="59"/>
      <c r="R28" s="618"/>
      <c r="S28" s="618"/>
      <c r="T28" s="618"/>
      <c r="U28" s="618"/>
      <c r="V28" s="618"/>
      <c r="W28" s="618"/>
      <c r="X28" s="56"/>
      <c r="Z28" s="297"/>
    </row>
    <row r="29" spans="2:26">
      <c r="B29" s="443" t="str">
        <f>IF(Contents!$B$2=2,"Number of employee work-related injuries","Показатели производственного травматизма по Группе")</f>
        <v>Number of employee work-related injuries</v>
      </c>
      <c r="C29" s="444"/>
      <c r="D29" s="296"/>
      <c r="E29" s="296"/>
      <c r="F29" s="296"/>
      <c r="G29" s="296"/>
      <c r="H29" s="296"/>
      <c r="I29" s="296"/>
      <c r="J29" s="296"/>
      <c r="K29" s="296"/>
      <c r="L29" s="296"/>
      <c r="M29" s="296"/>
      <c r="N29" s="296"/>
      <c r="O29" s="59"/>
      <c r="P29" s="56"/>
      <c r="Q29" s="59"/>
      <c r="R29" s="618"/>
      <c r="S29" s="618"/>
      <c r="T29" s="618"/>
      <c r="U29" s="618"/>
      <c r="V29" s="618"/>
      <c r="W29" s="618"/>
      <c r="X29" s="56"/>
      <c r="Z29" s="297"/>
    </row>
    <row r="30" spans="2:26" ht="25.5">
      <c r="B30" s="445" t="str">
        <f>IF(Contents!$B$2=2,"Number of work-related accidents","Количество несчастных случаев на производстве")</f>
        <v>Number of work-related accidents</v>
      </c>
      <c r="C30" s="518" t="str">
        <f>IF(Contents!$B$2=2,"unit"," единиц")</f>
        <v>unit</v>
      </c>
      <c r="D30" s="446">
        <v>5</v>
      </c>
      <c r="E30" s="446">
        <v>5</v>
      </c>
      <c r="F30" s="446">
        <v>13</v>
      </c>
      <c r="G30" s="446">
        <v>10</v>
      </c>
      <c r="H30" s="446">
        <v>8</v>
      </c>
      <c r="I30" s="446">
        <v>12</v>
      </c>
      <c r="J30" s="446">
        <v>15</v>
      </c>
      <c r="K30" s="446">
        <v>12</v>
      </c>
      <c r="L30" s="446">
        <v>7</v>
      </c>
      <c r="M30" s="446">
        <v>9</v>
      </c>
      <c r="N30" s="446">
        <v>7</v>
      </c>
      <c r="O30" s="58"/>
      <c r="P30" s="598"/>
      <c r="Q30" s="58"/>
      <c r="R30" s="56"/>
      <c r="S30" s="56"/>
      <c r="T30" s="56"/>
      <c r="U30" s="60"/>
      <c r="V30" s="56"/>
      <c r="W30" s="598">
        <v>1</v>
      </c>
      <c r="X30" s="56"/>
      <c r="Z30" s="297" t="s">
        <v>174</v>
      </c>
    </row>
    <row r="31" spans="2:26" ht="25.5">
      <c r="B31" s="93" t="str">
        <f>IF(Contents!$B$2=2,"Minor accidents","Легкие случаи")</f>
        <v>Minor accidents</v>
      </c>
      <c r="C31" s="447" t="str">
        <f>IF(Contents!$B$2=2,"unit"," единиц")</f>
        <v>unit</v>
      </c>
      <c r="D31" s="58">
        <v>5</v>
      </c>
      <c r="E31" s="58">
        <v>5</v>
      </c>
      <c r="F31" s="58">
        <v>11</v>
      </c>
      <c r="G31" s="58">
        <v>10</v>
      </c>
      <c r="H31" s="58">
        <v>8</v>
      </c>
      <c r="I31" s="58">
        <v>10</v>
      </c>
      <c r="J31" s="58">
        <v>13</v>
      </c>
      <c r="K31" s="58">
        <v>10</v>
      </c>
      <c r="L31" s="58">
        <v>6</v>
      </c>
      <c r="M31" s="58">
        <v>8</v>
      </c>
      <c r="N31" s="98">
        <v>5</v>
      </c>
      <c r="O31" s="58"/>
      <c r="P31" s="598"/>
      <c r="Q31" s="58"/>
      <c r="R31" s="56"/>
      <c r="S31" s="56"/>
      <c r="T31" s="56"/>
      <c r="U31" s="60"/>
      <c r="V31" s="56"/>
      <c r="W31" s="598">
        <v>1</v>
      </c>
      <c r="X31" s="56"/>
      <c r="Z31" s="297" t="s">
        <v>174</v>
      </c>
    </row>
    <row r="32" spans="2:26" ht="25.5">
      <c r="B32" s="93" t="str">
        <f>IF(Contents!$B$2=2,"Severe accidents","Тяжелые случаи")</f>
        <v>Severe accidents</v>
      </c>
      <c r="C32" s="447" t="str">
        <f>IF(Contents!$B$2=2,"unit"," единиц")</f>
        <v>unit</v>
      </c>
      <c r="D32" s="58">
        <v>0</v>
      </c>
      <c r="E32" s="58">
        <v>0</v>
      </c>
      <c r="F32" s="58">
        <v>1</v>
      </c>
      <c r="G32" s="58">
        <v>0</v>
      </c>
      <c r="H32" s="58">
        <v>1</v>
      </c>
      <c r="I32" s="58">
        <v>2</v>
      </c>
      <c r="J32" s="58">
        <v>0</v>
      </c>
      <c r="K32" s="58">
        <v>1</v>
      </c>
      <c r="L32" s="58">
        <v>0</v>
      </c>
      <c r="M32" s="58">
        <v>0</v>
      </c>
      <c r="N32" s="98">
        <v>2</v>
      </c>
      <c r="O32" s="58"/>
      <c r="P32" s="598"/>
      <c r="Q32" s="58"/>
      <c r="R32" s="56"/>
      <c r="S32" s="56"/>
      <c r="T32" s="56"/>
      <c r="U32" s="299"/>
      <c r="V32" s="56"/>
      <c r="W32" s="598">
        <v>1</v>
      </c>
      <c r="X32" s="56"/>
      <c r="Z32" s="297" t="s">
        <v>174</v>
      </c>
    </row>
    <row r="33" spans="2:26" ht="25.5">
      <c r="B33" s="93" t="str">
        <f>IF(Contents!$B$2=2,"Fatalities","Смертельные случаи")</f>
        <v>Fatalities</v>
      </c>
      <c r="C33" s="447" t="str">
        <f>IF(Contents!$B$2=2,"unit"," единиц")</f>
        <v>unit</v>
      </c>
      <c r="D33" s="58">
        <v>0</v>
      </c>
      <c r="E33" s="58">
        <v>0</v>
      </c>
      <c r="F33" s="58">
        <v>1</v>
      </c>
      <c r="G33" s="58">
        <v>0</v>
      </c>
      <c r="H33" s="58">
        <v>0</v>
      </c>
      <c r="I33" s="58">
        <v>0</v>
      </c>
      <c r="J33" s="58">
        <v>2</v>
      </c>
      <c r="K33" s="58">
        <v>1</v>
      </c>
      <c r="L33" s="58">
        <v>1</v>
      </c>
      <c r="M33" s="58">
        <v>1</v>
      </c>
      <c r="N33" s="98">
        <v>0</v>
      </c>
      <c r="O33" s="58"/>
      <c r="P33" s="598"/>
      <c r="Q33" s="58"/>
      <c r="R33" s="56"/>
      <c r="S33" s="56"/>
      <c r="T33" s="56"/>
      <c r="U33" s="299"/>
      <c r="V33" s="56"/>
      <c r="W33" s="598">
        <v>1</v>
      </c>
      <c r="X33" s="56"/>
      <c r="Z33" s="297" t="s">
        <v>174</v>
      </c>
    </row>
    <row r="34" spans="2:26" ht="25.5">
      <c r="B34" s="445" t="str">
        <f>IF(Contents!$B$2=2,"Number of work-related injuries","Количество регистрируемых производственных травм")</f>
        <v>Number of work-related injuries</v>
      </c>
      <c r="C34" s="77" t="str">
        <f>IF(Contents!$B$2=2,"people"," человек")</f>
        <v>people</v>
      </c>
      <c r="D34" s="446" t="s">
        <v>185</v>
      </c>
      <c r="E34" s="446" t="s">
        <v>185</v>
      </c>
      <c r="F34" s="446" t="s">
        <v>185</v>
      </c>
      <c r="G34" s="446" t="s">
        <v>185</v>
      </c>
      <c r="H34" s="446" t="s">
        <v>185</v>
      </c>
      <c r="I34" s="446" t="s">
        <v>185</v>
      </c>
      <c r="J34" s="446" t="s">
        <v>185</v>
      </c>
      <c r="K34" s="446" t="s">
        <v>185</v>
      </c>
      <c r="L34" s="446">
        <v>26</v>
      </c>
      <c r="M34" s="446">
        <v>49</v>
      </c>
      <c r="N34" s="446">
        <v>36</v>
      </c>
      <c r="O34" s="58"/>
      <c r="P34" s="598" t="str">
        <f>IF(Contents!$B$2=2,"Yes","Да")</f>
        <v>Yes</v>
      </c>
      <c r="Q34" s="58"/>
      <c r="R34" s="297" t="s">
        <v>143</v>
      </c>
      <c r="S34" s="56"/>
      <c r="T34" s="56"/>
      <c r="U34" s="60"/>
      <c r="V34" s="56"/>
      <c r="W34" s="598">
        <v>1</v>
      </c>
      <c r="X34" s="56"/>
      <c r="Z34" s="297" t="s">
        <v>181</v>
      </c>
    </row>
    <row r="35" spans="2:26" ht="25.5">
      <c r="B35" s="93" t="str">
        <f>IF(Contents!$B$2=2,"Microtraumas requiring medical treatment","Микроповреждения, потребовавшие оказания медицинской помощи")</f>
        <v>Microtraumas requiring medical treatment</v>
      </c>
      <c r="C35" s="434" t="str">
        <f>IF(Contents!$B$2=2,"people"," человек")</f>
        <v>people</v>
      </c>
      <c r="D35" s="435" t="s">
        <v>185</v>
      </c>
      <c r="E35" s="435" t="s">
        <v>185</v>
      </c>
      <c r="F35" s="435" t="s">
        <v>185</v>
      </c>
      <c r="G35" s="435" t="s">
        <v>185</v>
      </c>
      <c r="H35" s="435" t="s">
        <v>185</v>
      </c>
      <c r="I35" s="435" t="s">
        <v>185</v>
      </c>
      <c r="J35" s="435" t="s">
        <v>185</v>
      </c>
      <c r="K35" s="435" t="s">
        <v>185</v>
      </c>
      <c r="L35" s="58">
        <v>17</v>
      </c>
      <c r="M35" s="58">
        <v>39</v>
      </c>
      <c r="N35" s="98">
        <v>29</v>
      </c>
      <c r="O35" s="58"/>
      <c r="P35" s="598" t="str">
        <f>IF(Contents!$B$2=2,"Yes","Да")</f>
        <v>Yes</v>
      </c>
      <c r="Q35" s="58"/>
      <c r="R35" s="56"/>
      <c r="S35" s="56"/>
      <c r="T35" s="56"/>
      <c r="U35" s="60"/>
      <c r="V35" s="56"/>
      <c r="W35" s="598">
        <v>1</v>
      </c>
      <c r="X35" s="56"/>
      <c r="Z35" s="297" t="s">
        <v>174</v>
      </c>
    </row>
    <row r="36" spans="2:26" ht="38.25">
      <c r="B36" s="93" t="str">
        <f>IF(Contents!$B$2=2,"Minor injuries","Легкие травмы")</f>
        <v>Minor injuries</v>
      </c>
      <c r="C36" s="434" t="str">
        <f>IF(Contents!$B$2=2,"people"," человек")</f>
        <v>people</v>
      </c>
      <c r="D36" s="435" t="s">
        <v>185</v>
      </c>
      <c r="E36" s="435" t="s">
        <v>185</v>
      </c>
      <c r="F36" s="435" t="s">
        <v>185</v>
      </c>
      <c r="G36" s="435" t="s">
        <v>185</v>
      </c>
      <c r="H36" s="435" t="s">
        <v>185</v>
      </c>
      <c r="I36" s="58">
        <v>10</v>
      </c>
      <c r="J36" s="58">
        <v>15</v>
      </c>
      <c r="K36" s="58">
        <v>10</v>
      </c>
      <c r="L36" s="58">
        <v>6</v>
      </c>
      <c r="M36" s="58">
        <v>8</v>
      </c>
      <c r="N36" s="98">
        <v>5</v>
      </c>
      <c r="O36" s="58"/>
      <c r="P36" s="598" t="str">
        <f>IF(Contents!$B$2=2,"Yes","Да")</f>
        <v>Yes</v>
      </c>
      <c r="Q36" s="58"/>
      <c r="R36" s="56"/>
      <c r="S36" s="56"/>
      <c r="T36" s="56"/>
      <c r="U36" s="60"/>
      <c r="V36" s="56"/>
      <c r="W36" s="598">
        <v>1</v>
      </c>
      <c r="X36" s="56"/>
      <c r="Z36" s="297" t="s">
        <v>182</v>
      </c>
    </row>
    <row r="37" spans="2:26" ht="25.5">
      <c r="B37" s="93" t="str">
        <f>IF(Contents!$B$2=2,"Severe injuries","Тяжелые травмы")</f>
        <v>Severe injuries</v>
      </c>
      <c r="C37" s="434" t="str">
        <f>IF(Contents!$B$2=2,"people"," человек")</f>
        <v>people</v>
      </c>
      <c r="D37" s="435" t="s">
        <v>185</v>
      </c>
      <c r="E37" s="435" t="s">
        <v>185</v>
      </c>
      <c r="F37" s="435" t="s">
        <v>185</v>
      </c>
      <c r="G37" s="435" t="s">
        <v>185</v>
      </c>
      <c r="H37" s="448">
        <v>1</v>
      </c>
      <c r="I37" s="448">
        <v>2</v>
      </c>
      <c r="J37" s="448">
        <v>1</v>
      </c>
      <c r="K37" s="448">
        <v>1</v>
      </c>
      <c r="L37" s="448">
        <v>1</v>
      </c>
      <c r="M37" s="448">
        <v>0</v>
      </c>
      <c r="N37" s="98">
        <v>2</v>
      </c>
      <c r="O37" s="58"/>
      <c r="P37" s="598" t="str">
        <f>IF(Contents!$B$2=2,"Yes","Да")</f>
        <v>Yes</v>
      </c>
      <c r="Q37" s="58"/>
      <c r="R37" s="297" t="s">
        <v>143</v>
      </c>
      <c r="S37" s="56"/>
      <c r="T37" s="56"/>
      <c r="U37" s="60"/>
      <c r="V37" s="56"/>
      <c r="W37" s="598">
        <v>1</v>
      </c>
      <c r="X37" s="56"/>
      <c r="Z37" s="297" t="s">
        <v>174</v>
      </c>
    </row>
    <row r="38" spans="2:26" ht="25.5">
      <c r="B38" s="93" t="str">
        <f>IF(Contents!$B$2=2,"Fatalities","Травмы со смертельным исходом")</f>
        <v>Fatalities</v>
      </c>
      <c r="C38" s="434" t="str">
        <f>IF(Contents!$B$2=2,"people"," человек")</f>
        <v>people</v>
      </c>
      <c r="D38" s="435" t="s">
        <v>185</v>
      </c>
      <c r="E38" s="435" t="s">
        <v>185</v>
      </c>
      <c r="F38" s="435" t="s">
        <v>185</v>
      </c>
      <c r="G38" s="435" t="s">
        <v>185</v>
      </c>
      <c r="H38" s="448">
        <v>0</v>
      </c>
      <c r="I38" s="448">
        <v>0</v>
      </c>
      <c r="J38" s="448">
        <v>2</v>
      </c>
      <c r="K38" s="448">
        <v>1</v>
      </c>
      <c r="L38" s="448">
        <v>2</v>
      </c>
      <c r="M38" s="448">
        <v>2</v>
      </c>
      <c r="N38" s="98">
        <v>0</v>
      </c>
      <c r="O38" s="59"/>
      <c r="P38" s="598" t="str">
        <f>IF(Contents!$B$2=2,"Yes","Да")</f>
        <v>Yes</v>
      </c>
      <c r="Q38" s="58"/>
      <c r="R38" s="297" t="s">
        <v>143</v>
      </c>
      <c r="S38" s="56"/>
      <c r="T38" s="56"/>
      <c r="U38" s="273" t="str">
        <f>IF(Contents!$B$2=2,"PBCS 30","СОКБ 30")</f>
        <v>PBCS 30</v>
      </c>
      <c r="V38" s="56"/>
      <c r="W38" s="598">
        <v>1</v>
      </c>
      <c r="X38" s="56"/>
      <c r="Z38" s="297" t="s">
        <v>174</v>
      </c>
    </row>
    <row r="39" spans="2:26">
      <c r="B39" s="449"/>
      <c r="C39" s="434"/>
      <c r="D39" s="448"/>
      <c r="E39" s="448"/>
      <c r="F39" s="448"/>
      <c r="G39" s="448"/>
      <c r="H39" s="448"/>
      <c r="I39" s="448"/>
      <c r="J39" s="448"/>
      <c r="K39" s="448"/>
      <c r="L39" s="448"/>
      <c r="M39" s="448"/>
      <c r="N39" s="448"/>
      <c r="O39" s="59"/>
      <c r="P39" s="56"/>
      <c r="Q39" s="59"/>
      <c r="R39" s="56"/>
      <c r="S39" s="56"/>
      <c r="T39" s="56"/>
      <c r="U39" s="60"/>
      <c r="V39" s="56"/>
      <c r="W39" s="56"/>
      <c r="X39" s="56"/>
      <c r="Z39" s="297"/>
    </row>
    <row r="40" spans="2:26">
      <c r="B40" s="25" t="str">
        <f>IF(Contents!$B$2=2,"Notes:","Примечания:")</f>
        <v>Notes:</v>
      </c>
      <c r="C40" s="61"/>
      <c r="D40" s="62"/>
      <c r="E40" s="62"/>
      <c r="F40" s="62"/>
      <c r="G40" s="62"/>
      <c r="H40" s="62"/>
      <c r="I40" s="62"/>
      <c r="J40" s="62"/>
      <c r="K40" s="62"/>
      <c r="L40" s="62"/>
      <c r="M40" s="62"/>
      <c r="N40" s="63"/>
      <c r="O40" s="59"/>
      <c r="P40" s="56"/>
      <c r="Q40" s="59"/>
      <c r="R40" s="56"/>
      <c r="S40" s="56"/>
      <c r="T40" s="56"/>
      <c r="U40" s="60"/>
      <c r="V40" s="56"/>
      <c r="W40" s="56"/>
      <c r="X40" s="56"/>
      <c r="Z40" s="297"/>
    </row>
    <row r="41" spans="2:26">
      <c r="B41" s="26" t="str">
        <f>IF(Contents!$B$2=2,"Accidents are classified in accordance with Article 227 of the Labor Code of the Russian Federation.","Квалификация несчастных случаев осуществляется в соответствии с ст. 227 Трудового кодекса РФ.")</f>
        <v>Accidents are classified in accordance with Article 227 of the Labor Code of the Russian Federation.</v>
      </c>
      <c r="C41" s="294"/>
      <c r="D41" s="514"/>
      <c r="E41" s="514"/>
      <c r="F41" s="514"/>
      <c r="G41" s="514"/>
      <c r="H41" s="514"/>
      <c r="I41" s="514"/>
      <c r="J41" s="514"/>
      <c r="K41" s="514"/>
      <c r="L41" s="514"/>
      <c r="M41" s="514"/>
      <c r="N41" s="514"/>
      <c r="O41" s="59"/>
      <c r="P41" s="56"/>
      <c r="Q41" s="59"/>
      <c r="R41" s="56"/>
      <c r="S41" s="56"/>
      <c r="T41" s="56"/>
      <c r="U41" s="60"/>
      <c r="V41" s="56"/>
      <c r="W41" s="56"/>
      <c r="X41" s="56"/>
      <c r="Z41" s="297"/>
    </row>
    <row r="42" spans="2:26">
      <c r="B42" s="26" t="str">
        <f>IF(Contents!$B$2=2,"When calculating the number of accidents, a group accident is counted as one accident.","При расчете количества несчастных случаев групповой несчастный случай учитывается как один случай.")</f>
        <v>When calculating the number of accidents, a group accident is counted as one accident.</v>
      </c>
      <c r="C42" s="294"/>
      <c r="D42" s="514"/>
      <c r="E42" s="514"/>
      <c r="F42" s="514"/>
      <c r="G42" s="514"/>
      <c r="H42" s="514"/>
      <c r="I42" s="514"/>
      <c r="J42" s="514"/>
      <c r="K42" s="514"/>
      <c r="L42" s="514"/>
      <c r="M42" s="514"/>
      <c r="N42" s="514"/>
      <c r="O42" s="59"/>
      <c r="P42" s="56"/>
      <c r="Q42" s="59"/>
      <c r="R42" s="56"/>
      <c r="S42" s="56"/>
      <c r="T42" s="56"/>
      <c r="U42" s="60"/>
      <c r="V42" s="56"/>
      <c r="W42" s="56"/>
      <c r="X42" s="56"/>
      <c r="Z42" s="297"/>
    </row>
    <row r="43" spans="2:26">
      <c r="B43" s="26" t="str">
        <f>IF(Contents!$B$2=2, C45, B45)</f>
        <v>In accordance with Article 226 of the Labor Code of the Russian Federation, microinjuries (microtraumas) mean abrasions, contusions, soft-tissue bruises, superficial wounds, and other injuries that do not result in health impairment or temporary disability.</v>
      </c>
      <c r="C43" s="294"/>
      <c r="D43" s="514"/>
      <c r="E43" s="514"/>
      <c r="F43" s="514"/>
      <c r="G43" s="514"/>
      <c r="H43" s="514"/>
      <c r="I43" s="514"/>
      <c r="J43" s="514"/>
      <c r="K43" s="514"/>
      <c r="L43" s="514"/>
      <c r="M43" s="514"/>
      <c r="N43" s="514"/>
      <c r="O43" s="59"/>
      <c r="P43" s="56"/>
      <c r="Q43" s="59"/>
      <c r="R43" s="56"/>
      <c r="S43" s="56"/>
      <c r="T43" s="56"/>
      <c r="U43" s="60"/>
      <c r="V43" s="56"/>
      <c r="W43" s="56"/>
      <c r="X43" s="56"/>
      <c r="Z43" s="297"/>
    </row>
    <row r="44" spans="2:26">
      <c r="B44" s="26" t="str">
        <f>IF(Contents!$B$2=2, E45, D45)</f>
        <v>When calculating the number of recordable work-related injuries, the number of people injured and fatalities in work-related accidents, as well as cases of microtraumas that required medical treatment by qualified medical personnel, are taken into account.</v>
      </c>
      <c r="C44" s="294"/>
      <c r="D44" s="514"/>
      <c r="E44" s="514"/>
      <c r="F44" s="514"/>
      <c r="G44" s="514"/>
      <c r="H44" s="514"/>
      <c r="I44" s="514"/>
      <c r="J44" s="514"/>
      <c r="K44" s="514"/>
      <c r="L44" s="514"/>
      <c r="M44" s="514"/>
      <c r="N44" s="514"/>
      <c r="O44" s="59"/>
      <c r="P44" s="56"/>
      <c r="Q44" s="59"/>
      <c r="R44" s="56"/>
      <c r="S44" s="56"/>
      <c r="T44" s="56"/>
      <c r="U44" s="60"/>
      <c r="V44" s="56"/>
      <c r="W44" s="56"/>
      <c r="X44" s="56"/>
      <c r="Z44" s="297"/>
    </row>
    <row r="45" spans="2:26">
      <c r="B45" s="441" t="s">
        <v>153</v>
      </c>
      <c r="C45" s="442" t="s">
        <v>154</v>
      </c>
      <c r="D45" s="59" t="s">
        <v>155</v>
      </c>
      <c r="E45" s="59" t="s">
        <v>156</v>
      </c>
      <c r="F45" s="59"/>
      <c r="G45" s="59"/>
      <c r="H45" s="59"/>
      <c r="I45" s="59"/>
      <c r="J45" s="59"/>
      <c r="K45" s="59"/>
      <c r="L45" s="59"/>
      <c r="M45" s="59"/>
      <c r="N45" s="59"/>
      <c r="O45" s="59"/>
      <c r="P45" s="56"/>
      <c r="Q45" s="59"/>
      <c r="R45" s="618"/>
      <c r="S45" s="618"/>
      <c r="T45" s="618"/>
      <c r="U45" s="618"/>
      <c r="V45" s="618"/>
      <c r="W45" s="618"/>
      <c r="X45" s="56"/>
      <c r="Z45" s="297"/>
    </row>
    <row r="46" spans="2:26">
      <c r="B46" s="450"/>
      <c r="C46" s="450"/>
      <c r="D46" s="515"/>
      <c r="E46" s="515"/>
      <c r="F46" s="515"/>
      <c r="G46" s="515"/>
      <c r="H46" s="515"/>
      <c r="I46" s="515"/>
      <c r="J46" s="515"/>
      <c r="K46" s="515"/>
      <c r="L46" s="515"/>
      <c r="M46" s="515"/>
      <c r="N46" s="515"/>
      <c r="O46" s="59"/>
      <c r="P46" s="56"/>
      <c r="Q46" s="59"/>
      <c r="R46" s="56"/>
      <c r="S46" s="56"/>
      <c r="T46" s="56"/>
      <c r="U46" s="60"/>
      <c r="V46" s="56"/>
      <c r="W46" s="56"/>
      <c r="X46" s="56"/>
      <c r="Z46" s="297"/>
    </row>
    <row r="47" spans="2:26">
      <c r="B47" s="75" t="str">
        <f>IF(Contents!$B$2=2,"Work-related injury rates among contractors","Показатели производственного травматизма по подрядным организациям")</f>
        <v>Work-related injury rates among contractors</v>
      </c>
      <c r="C47" s="432"/>
      <c r="D47" s="433"/>
      <c r="E47" s="433"/>
      <c r="F47" s="433"/>
      <c r="G47" s="433"/>
      <c r="H47" s="433"/>
      <c r="I47" s="433"/>
      <c r="J47" s="433"/>
      <c r="K47" s="433"/>
      <c r="L47" s="433"/>
      <c r="M47" s="433"/>
      <c r="N47" s="433"/>
      <c r="O47" s="59"/>
      <c r="P47" s="56"/>
      <c r="Q47" s="59"/>
      <c r="R47" s="56"/>
      <c r="S47" s="56"/>
      <c r="T47" s="56"/>
      <c r="U47" s="60"/>
      <c r="V47" s="56"/>
      <c r="W47" s="56"/>
      <c r="X47" s="56"/>
      <c r="Z47" s="297"/>
    </row>
    <row r="48" spans="2:26">
      <c r="B48" s="23" t="str">
        <f>IF(Contents!$B$2=2,"per 1,000,000 hours worked","на 1 млн отработанных часов")</f>
        <v>per 1,000,000 hours worked</v>
      </c>
      <c r="C48" s="77"/>
      <c r="D48" s="446"/>
      <c r="E48" s="446"/>
      <c r="F48" s="446"/>
      <c r="G48" s="446"/>
      <c r="H48" s="446"/>
      <c r="I48" s="446"/>
      <c r="J48" s="446"/>
      <c r="K48" s="446"/>
      <c r="L48" s="446"/>
      <c r="M48" s="446"/>
      <c r="N48" s="446"/>
      <c r="O48" s="58"/>
      <c r="P48" s="56"/>
      <c r="Q48" s="58"/>
      <c r="R48" s="56"/>
      <c r="S48" s="56"/>
      <c r="T48" s="56"/>
      <c r="U48" s="60"/>
      <c r="V48" s="56"/>
      <c r="W48" s="56"/>
      <c r="X48" s="56"/>
      <c r="Z48" s="297"/>
    </row>
    <row r="49" spans="2:26" ht="25.5">
      <c r="B49" s="93" t="str">
        <f>IF(Contents!$B$2=2,"High-consequence work-related injuries rate","Коэффициент тяжелого травматизма")</f>
        <v>High-consequence work-related injuries rate</v>
      </c>
      <c r="C49" s="434" t="str">
        <f>IF(Contents!$B$2=2,"rate","коэффициент")</f>
        <v>rate</v>
      </c>
      <c r="D49" s="58" t="s">
        <v>185</v>
      </c>
      <c r="E49" s="58" t="s">
        <v>185</v>
      </c>
      <c r="F49" s="58" t="s">
        <v>185</v>
      </c>
      <c r="G49" s="58" t="s">
        <v>185</v>
      </c>
      <c r="H49" s="58" t="s">
        <v>185</v>
      </c>
      <c r="I49" s="58" t="s">
        <v>185</v>
      </c>
      <c r="J49" s="58" t="s">
        <v>185</v>
      </c>
      <c r="K49" s="58" t="s">
        <v>185</v>
      </c>
      <c r="L49" s="435">
        <v>0.03</v>
      </c>
      <c r="M49" s="435">
        <v>0.06</v>
      </c>
      <c r="N49" s="24">
        <v>0.16</v>
      </c>
      <c r="O49" s="58"/>
      <c r="P49" s="598" t="str">
        <f>IF(Contents!$B$2=2,"Yes","Да")</f>
        <v>Yes</v>
      </c>
      <c r="Q49" s="58"/>
      <c r="R49" s="297" t="s">
        <v>143</v>
      </c>
      <c r="S49" s="56"/>
      <c r="T49" s="56"/>
      <c r="U49" s="60"/>
      <c r="V49" s="56"/>
      <c r="W49" s="598">
        <v>1</v>
      </c>
      <c r="X49" s="56"/>
      <c r="Z49" s="297" t="s">
        <v>174</v>
      </c>
    </row>
    <row r="50" spans="2:26" ht="25.5">
      <c r="B50" s="93" t="str">
        <f>IF(Contents!$B$2=2,"FR","FR")</f>
        <v>FR</v>
      </c>
      <c r="C50" s="434" t="str">
        <f>IF(Contents!$B$2=2,"rate","коэффициент")</f>
        <v>rate</v>
      </c>
      <c r="D50" s="58" t="s">
        <v>185</v>
      </c>
      <c r="E50" s="58" t="s">
        <v>185</v>
      </c>
      <c r="F50" s="58" t="s">
        <v>185</v>
      </c>
      <c r="G50" s="58" t="s">
        <v>185</v>
      </c>
      <c r="H50" s="58" t="s">
        <v>185</v>
      </c>
      <c r="I50" s="58" t="s">
        <v>185</v>
      </c>
      <c r="J50" s="58" t="s">
        <v>185</v>
      </c>
      <c r="K50" s="58" t="s">
        <v>185</v>
      </c>
      <c r="L50" s="435">
        <v>0.03</v>
      </c>
      <c r="M50" s="435">
        <v>0</v>
      </c>
      <c r="N50" s="24">
        <v>7.0000000000000007E-2</v>
      </c>
      <c r="O50" s="64"/>
      <c r="P50" s="598" t="str">
        <f>IF(Contents!$B$2=2,"Yes","Да")</f>
        <v>Yes</v>
      </c>
      <c r="Q50" s="58"/>
      <c r="R50" s="297" t="s">
        <v>143</v>
      </c>
      <c r="S50" s="56" t="s">
        <v>144</v>
      </c>
      <c r="T50" s="56" t="s">
        <v>145</v>
      </c>
      <c r="U50" s="60"/>
      <c r="V50" s="56"/>
      <c r="W50" s="598">
        <v>1</v>
      </c>
      <c r="X50" s="56"/>
      <c r="Z50" s="297" t="s">
        <v>174</v>
      </c>
    </row>
    <row r="51" spans="2:26" ht="25.5">
      <c r="B51" s="93" t="str">
        <f>IF(Contents!$B$2=2,"LTIFR","LTIFR")</f>
        <v>LTIFR</v>
      </c>
      <c r="C51" s="434" t="str">
        <f>IF(Contents!$B$2=2,"rate","коэффициент")</f>
        <v>rate</v>
      </c>
      <c r="D51" s="58" t="s">
        <v>185</v>
      </c>
      <c r="E51" s="58" t="s">
        <v>185</v>
      </c>
      <c r="F51" s="58" t="s">
        <v>185</v>
      </c>
      <c r="G51" s="58" t="s">
        <v>185</v>
      </c>
      <c r="H51" s="58" t="s">
        <v>185</v>
      </c>
      <c r="I51" s="435">
        <v>0.3</v>
      </c>
      <c r="J51" s="435">
        <v>0.46</v>
      </c>
      <c r="K51" s="435">
        <v>0.48</v>
      </c>
      <c r="L51" s="435">
        <v>0.36</v>
      </c>
      <c r="M51" s="435">
        <v>0.5</v>
      </c>
      <c r="N51" s="24">
        <v>0.84</v>
      </c>
      <c r="O51" s="64"/>
      <c r="P51" s="598" t="str">
        <f>IF(Contents!$B$2=2,"Yes","Да")</f>
        <v>Yes</v>
      </c>
      <c r="Q51" s="58"/>
      <c r="R51" s="56"/>
      <c r="S51" s="56"/>
      <c r="T51" s="56" t="s">
        <v>145</v>
      </c>
      <c r="U51" s="273"/>
      <c r="V51" s="56"/>
      <c r="W51" s="598">
        <v>1</v>
      </c>
      <c r="X51" s="56"/>
      <c r="Z51" s="297" t="s">
        <v>174</v>
      </c>
    </row>
    <row r="52" spans="2:26">
      <c r="B52" s="23" t="str">
        <f>IF(Contents!$B$2=2,"per 200,000 hours worked","на 200 тыс. отработанных часов")</f>
        <v>per 200,000 hours worked</v>
      </c>
      <c r="C52" s="77"/>
      <c r="D52" s="446"/>
      <c r="E52" s="446"/>
      <c r="F52" s="446"/>
      <c r="G52" s="446"/>
      <c r="H52" s="446"/>
      <c r="I52" s="446"/>
      <c r="J52" s="446"/>
      <c r="K52" s="446"/>
      <c r="L52" s="446"/>
      <c r="M52" s="446"/>
      <c r="N52" s="446"/>
      <c r="O52" s="58"/>
      <c r="P52" s="598" t="str">
        <f>IF(Contents!$B$2=2,"Yes","Да")</f>
        <v>Yes</v>
      </c>
      <c r="Q52" s="58"/>
      <c r="R52" s="56"/>
      <c r="S52" s="56"/>
      <c r="T52" s="56"/>
      <c r="U52" s="60"/>
      <c r="V52" s="56"/>
      <c r="W52" s="598"/>
      <c r="X52" s="56"/>
      <c r="Z52" s="297"/>
    </row>
    <row r="53" spans="2:26" ht="25.5">
      <c r="B53" s="93" t="str">
        <f>IF(Contents!$B$2=2,"High-consequence work-related injuries rate","Коэффициент тяжелого травматизма")</f>
        <v>High-consequence work-related injuries rate</v>
      </c>
      <c r="C53" s="434" t="str">
        <f>IF(Contents!$B$2=2,"rate","коэффициент")</f>
        <v>rate</v>
      </c>
      <c r="D53" s="58" t="s">
        <v>185</v>
      </c>
      <c r="E53" s="58" t="s">
        <v>185</v>
      </c>
      <c r="F53" s="58" t="s">
        <v>185</v>
      </c>
      <c r="G53" s="58" t="s">
        <v>185</v>
      </c>
      <c r="H53" s="58" t="s">
        <v>185</v>
      </c>
      <c r="I53" s="58" t="s">
        <v>185</v>
      </c>
      <c r="J53" s="58" t="s">
        <v>185</v>
      </c>
      <c r="K53" s="58" t="s">
        <v>185</v>
      </c>
      <c r="L53" s="451">
        <v>5.0000000000000001E-3</v>
      </c>
      <c r="M53" s="451">
        <v>1.2E-2</v>
      </c>
      <c r="N53" s="70">
        <v>3.2000000000000001E-2</v>
      </c>
      <c r="O53" s="436"/>
      <c r="P53" s="598" t="str">
        <f>IF(Contents!$B$2=2,"Yes","Да")</f>
        <v>Yes</v>
      </c>
      <c r="Q53" s="58"/>
      <c r="R53" s="297" t="s">
        <v>143</v>
      </c>
      <c r="S53" s="56" t="s">
        <v>144</v>
      </c>
      <c r="T53" s="56" t="s">
        <v>145</v>
      </c>
      <c r="U53" s="60"/>
      <c r="V53" s="56"/>
      <c r="W53" s="598">
        <v>1</v>
      </c>
      <c r="X53" s="56"/>
      <c r="Z53" s="297" t="s">
        <v>174</v>
      </c>
    </row>
    <row r="54" spans="2:26" ht="25.5">
      <c r="B54" s="93" t="str">
        <f>IF(Contents!$B$2=2,"FR","FR")</f>
        <v>FR</v>
      </c>
      <c r="C54" s="434" t="str">
        <f>IF(Contents!$B$2=2,"rate","коэффициент")</f>
        <v>rate</v>
      </c>
      <c r="D54" s="58" t="s">
        <v>185</v>
      </c>
      <c r="E54" s="58" t="s">
        <v>185</v>
      </c>
      <c r="F54" s="58" t="s">
        <v>185</v>
      </c>
      <c r="G54" s="58" t="s">
        <v>185</v>
      </c>
      <c r="H54" s="58" t="s">
        <v>185</v>
      </c>
      <c r="I54" s="58" t="s">
        <v>185</v>
      </c>
      <c r="J54" s="58" t="s">
        <v>185</v>
      </c>
      <c r="K54" s="58" t="s">
        <v>185</v>
      </c>
      <c r="L54" s="451">
        <v>5.0000000000000001E-3</v>
      </c>
      <c r="M54" s="451">
        <v>0</v>
      </c>
      <c r="N54" s="70">
        <v>1.4E-2</v>
      </c>
      <c r="O54" s="58"/>
      <c r="P54" s="598" t="str">
        <f>IF(Contents!$B$2=2,"Yes","Да")</f>
        <v>Yes</v>
      </c>
      <c r="Q54" s="58"/>
      <c r="R54" s="297" t="s">
        <v>143</v>
      </c>
      <c r="S54" s="56" t="s">
        <v>144</v>
      </c>
      <c r="T54" s="56" t="s">
        <v>145</v>
      </c>
      <c r="U54" s="60"/>
      <c r="V54" s="56"/>
      <c r="W54" s="598">
        <v>1</v>
      </c>
      <c r="X54" s="56"/>
      <c r="Z54" s="297" t="s">
        <v>174</v>
      </c>
    </row>
    <row r="55" spans="2:26" ht="25.5">
      <c r="B55" s="93" t="str">
        <f>IF(Contents!$B$2=2,"LTIFR","LTIFR")</f>
        <v>LTIFR</v>
      </c>
      <c r="C55" s="434" t="str">
        <f>IF(Contents!$B$2=2,"rate","коэффициент")</f>
        <v>rate</v>
      </c>
      <c r="D55" s="58" t="s">
        <v>185</v>
      </c>
      <c r="E55" s="58" t="s">
        <v>185</v>
      </c>
      <c r="F55" s="58" t="s">
        <v>185</v>
      </c>
      <c r="G55" s="58" t="s">
        <v>185</v>
      </c>
      <c r="H55" s="58" t="s">
        <v>185</v>
      </c>
      <c r="I55" s="451">
        <v>0.06</v>
      </c>
      <c r="J55" s="451">
        <v>9.1999999999999998E-2</v>
      </c>
      <c r="K55" s="451">
        <v>9.7000000000000003E-2</v>
      </c>
      <c r="L55" s="451">
        <v>7.2999999999999995E-2</v>
      </c>
      <c r="M55" s="451">
        <v>0.1</v>
      </c>
      <c r="N55" s="70">
        <v>0.16700000000000001</v>
      </c>
      <c r="O55" s="64"/>
      <c r="P55" s="598" t="str">
        <f>IF(Contents!$B$2=2,"Yes","Да")</f>
        <v>Yes</v>
      </c>
      <c r="Q55" s="58"/>
      <c r="R55" s="297"/>
      <c r="T55" s="56" t="s">
        <v>145</v>
      </c>
      <c r="U55" s="60"/>
      <c r="V55" s="56"/>
      <c r="W55" s="598">
        <v>1</v>
      </c>
      <c r="X55" s="56"/>
      <c r="Z55" s="297" t="s">
        <v>174</v>
      </c>
    </row>
    <row r="56" spans="2:26">
      <c r="B56" s="452"/>
      <c r="C56" s="452"/>
      <c r="D56" s="516"/>
      <c r="E56" s="516"/>
      <c r="F56" s="516"/>
      <c r="G56" s="516"/>
      <c r="H56" s="516"/>
      <c r="I56" s="516"/>
      <c r="J56" s="516"/>
      <c r="K56" s="516"/>
      <c r="L56" s="516"/>
      <c r="M56" s="516"/>
      <c r="N56" s="516"/>
      <c r="O56" s="59"/>
      <c r="P56" s="56"/>
      <c r="Q56" s="59"/>
      <c r="R56" s="56"/>
      <c r="S56" s="56"/>
      <c r="T56" s="56"/>
      <c r="U56" s="60"/>
      <c r="V56" s="56"/>
      <c r="W56" s="56"/>
      <c r="X56" s="56"/>
      <c r="Z56" s="297"/>
    </row>
    <row r="57" spans="2:26">
      <c r="B57" s="443" t="str">
        <f>IF(Contents!$B$2=2,"Number of employee work-related injuries among contractors","Коэффициенты производственного травматизма по подрядным организациям")</f>
        <v>Number of employee work-related injuries among contractors</v>
      </c>
      <c r="C57" s="444"/>
      <c r="D57" s="296"/>
      <c r="E57" s="296"/>
      <c r="F57" s="296"/>
      <c r="G57" s="296"/>
      <c r="H57" s="296"/>
      <c r="I57" s="296"/>
      <c r="J57" s="296"/>
      <c r="K57" s="296"/>
      <c r="L57" s="296"/>
      <c r="M57" s="296"/>
      <c r="N57" s="296"/>
      <c r="O57" s="59"/>
      <c r="P57" s="56"/>
      <c r="Q57" s="59"/>
      <c r="R57" s="56"/>
      <c r="S57" s="56"/>
      <c r="T57" s="56"/>
      <c r="U57" s="60"/>
      <c r="V57" s="56"/>
      <c r="W57" s="56"/>
      <c r="X57" s="56"/>
      <c r="Z57" s="297"/>
    </row>
    <row r="58" spans="2:26" ht="25.5">
      <c r="B58" s="445" t="str">
        <f>IF(Contents!$B$2=2,"Number of work-related accidents","Количество несчастных случаев на производстве")</f>
        <v>Number of work-related accidents</v>
      </c>
      <c r="C58" s="518" t="str">
        <f>IF(Contents!$B$2=2,"unit"," единиц")</f>
        <v>unit</v>
      </c>
      <c r="D58" s="446" t="s">
        <v>185</v>
      </c>
      <c r="E58" s="446" t="s">
        <v>185</v>
      </c>
      <c r="F58" s="446" t="s">
        <v>185</v>
      </c>
      <c r="G58" s="446" t="s">
        <v>185</v>
      </c>
      <c r="H58" s="446" t="s">
        <v>185</v>
      </c>
      <c r="I58" s="446">
        <v>112</v>
      </c>
      <c r="J58" s="446">
        <v>110</v>
      </c>
      <c r="K58" s="446">
        <v>89</v>
      </c>
      <c r="L58" s="446">
        <v>52</v>
      </c>
      <c r="M58" s="446">
        <v>56</v>
      </c>
      <c r="N58" s="446">
        <v>56</v>
      </c>
      <c r="O58" s="58"/>
      <c r="P58" s="598"/>
      <c r="Q58" s="58"/>
      <c r="R58" s="56"/>
      <c r="S58" s="56"/>
      <c r="T58" s="56"/>
      <c r="U58" s="60"/>
      <c r="V58" s="56"/>
      <c r="W58" s="598"/>
      <c r="X58" s="56"/>
      <c r="Z58" s="297" t="s">
        <v>174</v>
      </c>
    </row>
    <row r="59" spans="2:26" ht="25.5">
      <c r="B59" s="93" t="str">
        <f>IF(Contents!$B$2=2,"Severe accidents","Тяжелые случаи")</f>
        <v>Severe accidents</v>
      </c>
      <c r="C59" s="447" t="str">
        <f>IF(Contents!$B$2=2,"unit"," единиц")</f>
        <v>unit</v>
      </c>
      <c r="D59" s="435" t="s">
        <v>185</v>
      </c>
      <c r="E59" s="435" t="s">
        <v>185</v>
      </c>
      <c r="F59" s="435" t="s">
        <v>185</v>
      </c>
      <c r="G59" s="435" t="s">
        <v>185</v>
      </c>
      <c r="H59" s="435" t="s">
        <v>185</v>
      </c>
      <c r="I59" s="435" t="s">
        <v>185</v>
      </c>
      <c r="J59" s="435" t="s">
        <v>185</v>
      </c>
      <c r="K59" s="435" t="s">
        <v>185</v>
      </c>
      <c r="L59" s="58">
        <v>4</v>
      </c>
      <c r="M59" s="58">
        <v>7</v>
      </c>
      <c r="N59" s="98">
        <v>11</v>
      </c>
      <c r="O59" s="58"/>
      <c r="P59" s="598"/>
      <c r="Q59" s="58"/>
      <c r="R59" s="56"/>
      <c r="S59" s="56"/>
      <c r="T59" s="56"/>
      <c r="U59" s="60"/>
      <c r="V59" s="56"/>
      <c r="W59" s="598"/>
      <c r="X59" s="56"/>
      <c r="Z59" s="297" t="s">
        <v>174</v>
      </c>
    </row>
    <row r="60" spans="2:26" ht="25.5">
      <c r="B60" s="93" t="str">
        <f>IF(Contents!$B$2=2,"Fatalities","Смертельные случаи")</f>
        <v>Fatalities</v>
      </c>
      <c r="C60" s="447" t="str">
        <f>IF(Contents!$B$2=2,"unit"," единиц")</f>
        <v>unit</v>
      </c>
      <c r="D60" s="435" t="s">
        <v>185</v>
      </c>
      <c r="E60" s="435" t="s">
        <v>185</v>
      </c>
      <c r="F60" s="435" t="s">
        <v>185</v>
      </c>
      <c r="G60" s="435" t="s">
        <v>185</v>
      </c>
      <c r="H60" s="58" t="s">
        <v>185</v>
      </c>
      <c r="I60" s="58">
        <v>3</v>
      </c>
      <c r="J60" s="58">
        <v>6</v>
      </c>
      <c r="K60" s="58">
        <v>3</v>
      </c>
      <c r="L60" s="58">
        <v>3</v>
      </c>
      <c r="M60" s="58">
        <v>0</v>
      </c>
      <c r="N60" s="98">
        <v>5</v>
      </c>
      <c r="O60" s="58"/>
      <c r="P60" s="598"/>
      <c r="Q60" s="58"/>
      <c r="R60" s="56"/>
      <c r="S60" s="56"/>
      <c r="T60" s="56"/>
      <c r="U60" s="60"/>
      <c r="V60" s="56"/>
      <c r="W60" s="598"/>
      <c r="X60" s="56"/>
      <c r="Z60" s="297" t="s">
        <v>174</v>
      </c>
    </row>
    <row r="61" spans="2:26" ht="25.5">
      <c r="B61" s="453" t="str">
        <f>IF(Contents!$B$2=2,"Number of contractors affected from work-related accidents","Количество пострадавших от связанных с производством несчастных случаев")</f>
        <v>Number of contractors affected from work-related accidents</v>
      </c>
      <c r="C61" s="77" t="str">
        <f>IF(Contents!$B$2=2,"people"," человек")</f>
        <v>people</v>
      </c>
      <c r="D61" s="446" t="s">
        <v>185</v>
      </c>
      <c r="E61" s="446" t="s">
        <v>185</v>
      </c>
      <c r="F61" s="446" t="s">
        <v>185</v>
      </c>
      <c r="G61" s="446" t="s">
        <v>185</v>
      </c>
      <c r="H61" s="446" t="s">
        <v>185</v>
      </c>
      <c r="I61" s="446">
        <v>112</v>
      </c>
      <c r="J61" s="446">
        <v>122</v>
      </c>
      <c r="K61" s="446">
        <v>89</v>
      </c>
      <c r="L61" s="446">
        <v>55</v>
      </c>
      <c r="M61" s="446">
        <v>56</v>
      </c>
      <c r="N61" s="446">
        <v>58</v>
      </c>
      <c r="O61" s="58"/>
      <c r="P61" s="598" t="str">
        <f>IF(Contents!$B$2=2,"Yes","Да")</f>
        <v>Yes</v>
      </c>
      <c r="Q61" s="58"/>
      <c r="R61" s="297" t="s">
        <v>143</v>
      </c>
      <c r="S61" s="56"/>
      <c r="T61" s="56"/>
      <c r="U61" s="60"/>
      <c r="V61" s="56"/>
      <c r="W61" s="598">
        <v>1</v>
      </c>
      <c r="X61" s="56"/>
      <c r="Z61" s="297" t="s">
        <v>174</v>
      </c>
    </row>
    <row r="62" spans="2:26" ht="38.25">
      <c r="B62" s="93" t="str">
        <f>IF(Contents!$B$2=2,"Minor injuries","Легкие травмы")</f>
        <v>Minor injuries</v>
      </c>
      <c r="C62" s="434" t="str">
        <f>IF(Contents!$B$2=2,"people"," человек")</f>
        <v>people</v>
      </c>
      <c r="D62" s="58" t="s">
        <v>185</v>
      </c>
      <c r="E62" s="58" t="s">
        <v>185</v>
      </c>
      <c r="F62" s="58" t="s">
        <v>185</v>
      </c>
      <c r="G62" s="58" t="s">
        <v>185</v>
      </c>
      <c r="H62" s="58" t="s">
        <v>185</v>
      </c>
      <c r="I62" s="58" t="s">
        <v>185</v>
      </c>
      <c r="J62" s="58" t="s">
        <v>185</v>
      </c>
      <c r="K62" s="58" t="s">
        <v>185</v>
      </c>
      <c r="L62" s="58">
        <v>47</v>
      </c>
      <c r="M62" s="58">
        <v>49</v>
      </c>
      <c r="N62" s="98">
        <v>42</v>
      </c>
      <c r="O62" s="58"/>
      <c r="P62" s="598" t="str">
        <f>IF(Contents!$B$2=2,"Yes","Да")</f>
        <v>Yes</v>
      </c>
      <c r="Q62" s="58"/>
      <c r="R62" s="56"/>
      <c r="S62" s="56"/>
      <c r="T62" s="56"/>
      <c r="U62" s="60"/>
      <c r="V62" s="56"/>
      <c r="W62" s="598">
        <v>1</v>
      </c>
      <c r="X62" s="56"/>
      <c r="Z62" s="297" t="s">
        <v>182</v>
      </c>
    </row>
    <row r="63" spans="2:26" ht="25.5">
      <c r="B63" s="93" t="str">
        <f>IF(Contents!$B$2=2,"Severe injuries","Тяжелые травмы")</f>
        <v>Severe injuries</v>
      </c>
      <c r="C63" s="434" t="str">
        <f>IF(Contents!$B$2=2,"people"," человек")</f>
        <v>people</v>
      </c>
      <c r="D63" s="58" t="s">
        <v>185</v>
      </c>
      <c r="E63" s="58" t="s">
        <v>185</v>
      </c>
      <c r="F63" s="58" t="s">
        <v>185</v>
      </c>
      <c r="G63" s="58" t="s">
        <v>185</v>
      </c>
      <c r="H63" s="58" t="s">
        <v>185</v>
      </c>
      <c r="I63" s="58" t="s">
        <v>185</v>
      </c>
      <c r="J63" s="58" t="s">
        <v>185</v>
      </c>
      <c r="K63" s="58" t="s">
        <v>185</v>
      </c>
      <c r="L63" s="58">
        <v>4</v>
      </c>
      <c r="M63" s="58">
        <v>7</v>
      </c>
      <c r="N63" s="98">
        <v>11</v>
      </c>
      <c r="O63" s="58"/>
      <c r="P63" s="598" t="str">
        <f>IF(Contents!$B$2=2,"Yes","Да")</f>
        <v>Yes</v>
      </c>
      <c r="Q63" s="58"/>
      <c r="R63" s="297" t="s">
        <v>143</v>
      </c>
      <c r="S63" s="56"/>
      <c r="T63" s="56"/>
      <c r="U63" s="60"/>
      <c r="V63" s="56"/>
      <c r="W63" s="598">
        <v>1</v>
      </c>
      <c r="X63" s="56"/>
      <c r="Z63" s="297" t="s">
        <v>174</v>
      </c>
    </row>
    <row r="64" spans="2:26" ht="25.5">
      <c r="B64" s="93" t="str">
        <f>IF(Contents!$B$2=2,"Fatalities","Травмы со смертельным исходом")</f>
        <v>Fatalities</v>
      </c>
      <c r="C64" s="434" t="str">
        <f>IF(Contents!$B$2=2,"people"," человек")</f>
        <v>people</v>
      </c>
      <c r="D64" s="58" t="s">
        <v>185</v>
      </c>
      <c r="E64" s="58" t="s">
        <v>185</v>
      </c>
      <c r="F64" s="58" t="s">
        <v>185</v>
      </c>
      <c r="G64" s="58" t="s">
        <v>185</v>
      </c>
      <c r="H64" s="58" t="s">
        <v>185</v>
      </c>
      <c r="I64" s="58">
        <v>3</v>
      </c>
      <c r="J64" s="58">
        <v>6</v>
      </c>
      <c r="K64" s="58">
        <v>3</v>
      </c>
      <c r="L64" s="58">
        <v>4</v>
      </c>
      <c r="M64" s="58">
        <v>0</v>
      </c>
      <c r="N64" s="98">
        <v>5</v>
      </c>
      <c r="O64" s="59"/>
      <c r="P64" s="598" t="str">
        <f>IF(Contents!$B$2=2,"Yes","Да")</f>
        <v>Yes</v>
      </c>
      <c r="Q64" s="58"/>
      <c r="R64" s="297" t="s">
        <v>143</v>
      </c>
      <c r="S64" s="56"/>
      <c r="T64" s="56"/>
      <c r="U64" s="273"/>
      <c r="V64" s="56"/>
      <c r="W64" s="598">
        <v>1</v>
      </c>
      <c r="X64" s="56"/>
      <c r="Z64" s="297" t="s">
        <v>174</v>
      </c>
    </row>
    <row r="65" spans="2:26">
      <c r="B65" s="454"/>
      <c r="D65" s="511"/>
      <c r="E65" s="511"/>
      <c r="F65" s="511"/>
      <c r="G65" s="511"/>
      <c r="H65" s="511"/>
      <c r="I65" s="512"/>
      <c r="J65" s="511"/>
      <c r="K65" s="511"/>
      <c r="L65" s="511"/>
      <c r="M65" s="511"/>
      <c r="N65" s="511"/>
      <c r="V65" s="56"/>
      <c r="W65" s="56"/>
      <c r="X65" s="56"/>
    </row>
    <row r="66" spans="2:26">
      <c r="B66" s="443" t="str">
        <f>IF(Contents!$B$2=2,"Number of occupational diseases at the NOVATEK Group","Показатели профессиональной заболеваемости по Группе")</f>
        <v>Number of occupational diseases at the NOVATEK Group</v>
      </c>
      <c r="C66" s="444"/>
      <c r="D66" s="296"/>
      <c r="E66" s="296"/>
      <c r="F66" s="296"/>
      <c r="G66" s="296"/>
      <c r="H66" s="296"/>
      <c r="I66" s="296"/>
      <c r="J66" s="296"/>
      <c r="K66" s="296"/>
      <c r="L66" s="296"/>
      <c r="M66" s="296"/>
      <c r="N66" s="296"/>
      <c r="O66" s="59"/>
      <c r="P66" s="56"/>
      <c r="Q66" s="59"/>
      <c r="R66" s="56"/>
      <c r="S66" s="56"/>
      <c r="T66" s="56"/>
      <c r="U66" s="60"/>
      <c r="V66" s="56"/>
      <c r="W66" s="56"/>
      <c r="X66" s="56"/>
      <c r="Z66" s="297"/>
    </row>
    <row r="67" spans="2:26" ht="39.75" customHeight="1">
      <c r="B67" s="455" t="str">
        <f>IF(Contents!$B$2=2,"Number of occupational diseases registered for the first time","Количество впервые зарегистрированных профессиональных заболеваний")</f>
        <v>Number of occupational diseases registered for the first time</v>
      </c>
      <c r="C67" s="434" t="str">
        <f>IF(Contents!$B$2=2,"case"," случаев")</f>
        <v>case</v>
      </c>
      <c r="D67" s="58">
        <v>0</v>
      </c>
      <c r="E67" s="58">
        <v>0</v>
      </c>
      <c r="F67" s="58">
        <v>0</v>
      </c>
      <c r="G67" s="58">
        <v>0</v>
      </c>
      <c r="H67" s="58">
        <v>0</v>
      </c>
      <c r="I67" s="58">
        <v>0</v>
      </c>
      <c r="J67" s="58">
        <v>0</v>
      </c>
      <c r="K67" s="58">
        <v>0</v>
      </c>
      <c r="L67" s="58">
        <v>0</v>
      </c>
      <c r="M67" s="58">
        <v>0</v>
      </c>
      <c r="N67" s="98">
        <v>0</v>
      </c>
      <c r="O67" s="58"/>
      <c r="P67" s="598" t="str">
        <f>IF(Contents!$B$2=2,"Yes","Да")</f>
        <v>Yes</v>
      </c>
      <c r="Q67" s="58"/>
      <c r="R67" s="297" t="s">
        <v>157</v>
      </c>
      <c r="S67" s="56"/>
      <c r="T67" s="56"/>
      <c r="U67" s="60"/>
      <c r="V67" s="56"/>
      <c r="W67" s="598">
        <v>1</v>
      </c>
      <c r="X67" s="56"/>
      <c r="Z67" s="297" t="s">
        <v>174</v>
      </c>
    </row>
    <row r="68" spans="2:26" ht="34.5" customHeight="1">
      <c r="B68" s="449"/>
      <c r="C68" s="447"/>
      <c r="D68" s="58"/>
      <c r="E68" s="58"/>
      <c r="F68" s="58"/>
      <c r="G68" s="58"/>
      <c r="H68" s="58"/>
      <c r="I68" s="58"/>
      <c r="J68" s="58"/>
      <c r="K68" s="58"/>
      <c r="L68" s="58"/>
      <c r="M68" s="58"/>
      <c r="N68" s="58"/>
      <c r="O68" s="58"/>
      <c r="P68" s="56"/>
      <c r="Q68" s="58"/>
      <c r="R68" s="56"/>
      <c r="S68" s="56"/>
      <c r="T68" s="56"/>
      <c r="U68" s="60"/>
      <c r="V68" s="56"/>
      <c r="W68" s="56"/>
      <c r="X68" s="56"/>
      <c r="Z68" s="297"/>
    </row>
    <row r="69" spans="2:26">
      <c r="B69" s="443" t="str">
        <f>IF(Contents!$B$2=2,"OHS training","Обучение по охране труда")</f>
        <v>OHS training</v>
      </c>
      <c r="C69" s="456"/>
      <c r="D69" s="457"/>
      <c r="E69" s="457"/>
      <c r="F69" s="457"/>
      <c r="G69" s="457"/>
      <c r="H69" s="457"/>
      <c r="I69" s="458"/>
      <c r="J69" s="459"/>
      <c r="K69" s="459"/>
      <c r="L69" s="459"/>
      <c r="M69" s="459"/>
      <c r="N69" s="296"/>
      <c r="O69" s="59"/>
      <c r="P69" s="56"/>
      <c r="Q69" s="59"/>
      <c r="R69" s="56"/>
      <c r="S69" s="56"/>
      <c r="T69" s="56"/>
      <c r="U69" s="60"/>
      <c r="V69" s="56"/>
      <c r="W69" s="56"/>
      <c r="X69" s="56"/>
      <c r="Z69" s="297"/>
    </row>
    <row r="70" spans="2:26" ht="25.5">
      <c r="B70" s="445" t="str">
        <f>IF(Contents!$B$2=2,"Number of employees who completed OHS training","Количество работников, прошедших обучение по охране труда")</f>
        <v>Number of employees who completed OHS training</v>
      </c>
      <c r="C70" s="77" t="str">
        <f>IF(Contents!$B$2=2,"people"," человек")</f>
        <v>people</v>
      </c>
      <c r="D70" s="446" t="s">
        <v>185</v>
      </c>
      <c r="E70" s="446" t="s">
        <v>185</v>
      </c>
      <c r="F70" s="446" t="s">
        <v>185</v>
      </c>
      <c r="G70" s="446" t="s">
        <v>185</v>
      </c>
      <c r="H70" s="446" t="s">
        <v>185</v>
      </c>
      <c r="I70" s="446">
        <v>24391</v>
      </c>
      <c r="J70" s="446">
        <v>25881</v>
      </c>
      <c r="K70" s="446">
        <v>27501</v>
      </c>
      <c r="L70" s="446" t="s">
        <v>185</v>
      </c>
      <c r="M70" s="446" t="s">
        <v>185</v>
      </c>
      <c r="N70" s="446" t="s">
        <v>185</v>
      </c>
      <c r="O70" s="58"/>
      <c r="P70" s="598"/>
      <c r="Q70" s="58"/>
      <c r="R70" s="56"/>
      <c r="S70" s="56"/>
      <c r="T70" s="56"/>
      <c r="U70" s="60"/>
      <c r="V70" s="56"/>
      <c r="W70" s="598">
        <v>1</v>
      </c>
      <c r="X70" s="56"/>
      <c r="Z70" s="297" t="s">
        <v>175</v>
      </c>
    </row>
    <row r="71" spans="2:26" ht="25.5">
      <c r="B71" s="455" t="str">
        <f>IF(Contents!$B$2=2,"OHS training","Обучение по охране труда")</f>
        <v>OHS training</v>
      </c>
      <c r="C71" s="103" t="str">
        <f>IF(Contents!$B$2=2,"people"," человек")</f>
        <v>people</v>
      </c>
      <c r="D71" s="74">
        <v>4324</v>
      </c>
      <c r="E71" s="74">
        <v>6852</v>
      </c>
      <c r="F71" s="74">
        <v>7327</v>
      </c>
      <c r="G71" s="74">
        <v>8153</v>
      </c>
      <c r="H71" s="74">
        <v>10256</v>
      </c>
      <c r="I71" s="74">
        <v>11518</v>
      </c>
      <c r="J71" s="74">
        <v>12142</v>
      </c>
      <c r="K71" s="74">
        <v>12475</v>
      </c>
      <c r="L71" s="74" t="s">
        <v>185</v>
      </c>
      <c r="M71" s="74" t="s">
        <v>185</v>
      </c>
      <c r="N71" s="784" t="s">
        <v>185</v>
      </c>
      <c r="P71" s="598"/>
      <c r="Q71" s="58"/>
      <c r="R71" s="277"/>
      <c r="S71" s="277"/>
      <c r="T71" s="277"/>
      <c r="U71" s="278"/>
      <c r="V71" s="56"/>
      <c r="W71" s="598">
        <v>1</v>
      </c>
      <c r="X71" s="56"/>
      <c r="Z71" s="297" t="s">
        <v>176</v>
      </c>
    </row>
    <row r="72" spans="2:26" ht="25.5">
      <c r="B72" s="455" t="str">
        <f>IF(Contents!$B$2=2,"First aid training","Оказание первой помощи при несчастных случаях")</f>
        <v>First aid training</v>
      </c>
      <c r="C72" s="103" t="str">
        <f>IF(Contents!$B$2=2,"people"," человек")</f>
        <v>people</v>
      </c>
      <c r="D72" s="74" t="s">
        <v>185</v>
      </c>
      <c r="E72" s="74" t="s">
        <v>185</v>
      </c>
      <c r="F72" s="74">
        <v>6006</v>
      </c>
      <c r="G72" s="74">
        <v>7757</v>
      </c>
      <c r="H72" s="74">
        <v>10134</v>
      </c>
      <c r="I72" s="74">
        <v>10394</v>
      </c>
      <c r="J72" s="74">
        <v>2837</v>
      </c>
      <c r="K72" s="74">
        <v>11783</v>
      </c>
      <c r="L72" s="74" t="s">
        <v>185</v>
      </c>
      <c r="M72" s="74" t="s">
        <v>185</v>
      </c>
      <c r="N72" s="784" t="s">
        <v>185</v>
      </c>
      <c r="P72" s="598"/>
      <c r="Q72" s="58"/>
      <c r="R72" s="613"/>
      <c r="S72" s="277"/>
      <c r="T72" s="277"/>
      <c r="U72" s="278"/>
      <c r="V72" s="56"/>
      <c r="W72" s="598">
        <v>1</v>
      </c>
      <c r="X72" s="56"/>
      <c r="Z72" s="297" t="s">
        <v>177</v>
      </c>
    </row>
    <row r="73" spans="2:26" ht="25.5">
      <c r="B73" s="455" t="str">
        <f>IF(Contents!$B$2=2,"OHS training and certification","Обучение и сертификация по охране труда")</f>
        <v>OHS training and certification</v>
      </c>
      <c r="C73" s="103" t="str">
        <f>IF(Contents!$B$2=2,"people"," человек")</f>
        <v>people</v>
      </c>
      <c r="D73" s="74" t="s">
        <v>185</v>
      </c>
      <c r="E73" s="74">
        <v>3018</v>
      </c>
      <c r="F73" s="74">
        <v>3189</v>
      </c>
      <c r="G73" s="74">
        <v>2966</v>
      </c>
      <c r="H73" s="74">
        <v>2544</v>
      </c>
      <c r="I73" s="74">
        <v>2479</v>
      </c>
      <c r="J73" s="74">
        <v>10902</v>
      </c>
      <c r="K73" s="74">
        <v>3243</v>
      </c>
      <c r="L73" s="74" t="s">
        <v>185</v>
      </c>
      <c r="M73" s="74" t="s">
        <v>185</v>
      </c>
      <c r="N73" s="784" t="s">
        <v>185</v>
      </c>
      <c r="P73" s="598"/>
      <c r="Q73" s="58"/>
      <c r="R73" s="613"/>
      <c r="S73" s="277"/>
      <c r="T73" s="277"/>
      <c r="U73" s="278"/>
      <c r="V73" s="56"/>
      <c r="W73" s="598">
        <v>1</v>
      </c>
      <c r="X73" s="56"/>
      <c r="Z73" s="297" t="s">
        <v>178</v>
      </c>
    </row>
    <row r="74" spans="2:26" ht="25.5">
      <c r="B74" s="453" t="str">
        <f>IF(Contents!$B$2=2,"OHS and first aid training programs completed by employees","Количество программ обучения, пройденных работниками, в области ОТ и ПБ и оказания первой помощи")</f>
        <v>OHS and first aid training programs completed by employees</v>
      </c>
      <c r="C74" s="518" t="str">
        <f>IF(Contents!$B$2=2,"unit"," единиц")</f>
        <v>unit</v>
      </c>
      <c r="D74" s="446" t="s">
        <v>185</v>
      </c>
      <c r="E74" s="446" t="s">
        <v>185</v>
      </c>
      <c r="F74" s="446" t="s">
        <v>185</v>
      </c>
      <c r="G74" s="446" t="s">
        <v>185</v>
      </c>
      <c r="H74" s="446" t="s">
        <v>185</v>
      </c>
      <c r="I74" s="446" t="s">
        <v>185</v>
      </c>
      <c r="J74" s="446" t="s">
        <v>185</v>
      </c>
      <c r="K74" s="446" t="s">
        <v>185</v>
      </c>
      <c r="L74" s="446">
        <v>58731</v>
      </c>
      <c r="M74" s="446">
        <v>17788</v>
      </c>
      <c r="N74" s="666">
        <v>15921</v>
      </c>
      <c r="O74" s="58"/>
      <c r="P74" s="598" t="str">
        <f>IF(Contents!$B$2=2,"Yes","Да")</f>
        <v>Yes</v>
      </c>
      <c r="Q74" s="58"/>
      <c r="R74" s="56"/>
      <c r="S74" s="56"/>
      <c r="T74" s="56"/>
      <c r="U74" s="60"/>
      <c r="V74" s="56"/>
      <c r="W74" s="598">
        <v>1</v>
      </c>
      <c r="X74" s="56"/>
      <c r="Z74" s="297" t="s">
        <v>178</v>
      </c>
    </row>
    <row r="75" spans="2:26" ht="25.5">
      <c r="B75" s="455" t="str">
        <f>IF(Contents!$B$2=2,"OHS training","Обучение по охране труда")</f>
        <v>OHS training</v>
      </c>
      <c r="C75" s="12" t="str">
        <f>IF(Contents!$B$2=2,"unit"," единиц")</f>
        <v>unit</v>
      </c>
      <c r="D75" s="74" t="s">
        <v>185</v>
      </c>
      <c r="E75" s="74" t="s">
        <v>185</v>
      </c>
      <c r="F75" s="74" t="s">
        <v>185</v>
      </c>
      <c r="G75" s="74" t="s">
        <v>185</v>
      </c>
      <c r="H75" s="74" t="s">
        <v>185</v>
      </c>
      <c r="I75" s="74" t="s">
        <v>185</v>
      </c>
      <c r="J75" s="74" t="s">
        <v>185</v>
      </c>
      <c r="K75" s="74" t="s">
        <v>185</v>
      </c>
      <c r="L75" s="74">
        <v>46761</v>
      </c>
      <c r="M75" s="74">
        <v>9816</v>
      </c>
      <c r="N75" s="98">
        <v>8171</v>
      </c>
      <c r="P75" s="598" t="str">
        <f>IF(Contents!$B$2=2,"Yes","Да")</f>
        <v>Yes</v>
      </c>
      <c r="Q75" s="58"/>
      <c r="R75" s="277"/>
      <c r="S75" s="277"/>
      <c r="T75" s="277"/>
      <c r="U75" s="278"/>
      <c r="V75" s="56"/>
      <c r="W75" s="598">
        <v>1</v>
      </c>
      <c r="X75" s="56"/>
      <c r="Z75" s="297" t="s">
        <v>178</v>
      </c>
    </row>
    <row r="76" spans="2:26" ht="25.5">
      <c r="B76" s="455" t="str">
        <f>IF(Contents!$B$2=2,"First aid training","Оказание первой помощи при несчастных случаях")</f>
        <v>First aid training</v>
      </c>
      <c r="C76" s="12" t="str">
        <f>IF(Contents!$B$2=2,"unit"," единиц")</f>
        <v>unit</v>
      </c>
      <c r="D76" s="74" t="s">
        <v>185</v>
      </c>
      <c r="E76" s="74" t="s">
        <v>185</v>
      </c>
      <c r="F76" s="74" t="s">
        <v>185</v>
      </c>
      <c r="G76" s="74" t="s">
        <v>185</v>
      </c>
      <c r="H76" s="74" t="s">
        <v>185</v>
      </c>
      <c r="I76" s="74" t="s">
        <v>185</v>
      </c>
      <c r="J76" s="74" t="s">
        <v>185</v>
      </c>
      <c r="K76" s="74" t="s">
        <v>185</v>
      </c>
      <c r="L76" s="74">
        <v>9663</v>
      </c>
      <c r="M76" s="74">
        <v>4365</v>
      </c>
      <c r="N76" s="98">
        <v>5612</v>
      </c>
      <c r="P76" s="598" t="str">
        <f>IF(Contents!$B$2=2,"Yes","Да")</f>
        <v>Yes</v>
      </c>
      <c r="Q76" s="58"/>
      <c r="R76" s="613"/>
      <c r="S76" s="277"/>
      <c r="T76" s="277"/>
      <c r="U76" s="278"/>
      <c r="V76" s="56"/>
      <c r="W76" s="598">
        <v>1</v>
      </c>
      <c r="X76" s="56"/>
      <c r="Z76" s="297" t="s">
        <v>178</v>
      </c>
    </row>
    <row r="77" spans="2:26" ht="25.5">
      <c r="B77" s="455" t="str">
        <f>IF(Contents!$B$2=2,"Industrial safety training and certification","Обучение и аттестация по промышленной безопасности")</f>
        <v>Industrial safety training and certification</v>
      </c>
      <c r="C77" s="12" t="str">
        <f>IF(Contents!$B$2=2,"unit"," единиц")</f>
        <v>unit</v>
      </c>
      <c r="D77" s="74" t="s">
        <v>185</v>
      </c>
      <c r="E77" s="74" t="s">
        <v>185</v>
      </c>
      <c r="F77" s="74" t="s">
        <v>185</v>
      </c>
      <c r="G77" s="74" t="s">
        <v>185</v>
      </c>
      <c r="H77" s="74" t="s">
        <v>185</v>
      </c>
      <c r="I77" s="74" t="s">
        <v>185</v>
      </c>
      <c r="J77" s="74" t="s">
        <v>185</v>
      </c>
      <c r="K77" s="74" t="s">
        <v>185</v>
      </c>
      <c r="L77" s="74">
        <v>2307</v>
      </c>
      <c r="M77" s="74">
        <v>3607</v>
      </c>
      <c r="N77" s="98">
        <v>2138</v>
      </c>
      <c r="P77" s="598" t="str">
        <f>IF(Contents!$B$2=2,"Yes","Да")</f>
        <v>Yes</v>
      </c>
      <c r="Q77" s="58"/>
      <c r="R77" s="613"/>
      <c r="S77" s="277"/>
      <c r="T77" s="277"/>
      <c r="U77" s="278"/>
      <c r="V77" s="56"/>
      <c r="W77" s="598">
        <v>1</v>
      </c>
      <c r="X77" s="56"/>
      <c r="Z77" s="297" t="s">
        <v>178</v>
      </c>
    </row>
    <row r="78" spans="2:26">
      <c r="B78" s="440"/>
      <c r="C78" s="103"/>
      <c r="D78" s="147"/>
      <c r="E78" s="74"/>
      <c r="F78" s="74"/>
      <c r="G78" s="74"/>
      <c r="H78" s="74"/>
      <c r="I78" s="101"/>
      <c r="J78" s="101"/>
      <c r="K78" s="101"/>
      <c r="L78" s="101"/>
      <c r="M78" s="101"/>
      <c r="N78" s="511"/>
      <c r="P78" s="598"/>
      <c r="Q78" s="58"/>
      <c r="R78" s="613"/>
      <c r="S78" s="277"/>
      <c r="T78" s="277"/>
      <c r="U78" s="278"/>
      <c r="V78" s="56"/>
      <c r="W78" s="56"/>
      <c r="X78" s="56"/>
      <c r="Z78" s="346"/>
    </row>
    <row r="79" spans="2:26">
      <c r="B79" s="75"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Expenses on labor protection and industrial safety, fire safety and security of facilities</v>
      </c>
      <c r="C79" s="456"/>
      <c r="D79" s="517"/>
      <c r="E79" s="517"/>
      <c r="F79" s="517"/>
      <c r="G79" s="517"/>
      <c r="H79" s="517"/>
      <c r="I79" s="517"/>
      <c r="J79" s="517"/>
      <c r="K79" s="517"/>
      <c r="L79" s="517"/>
      <c r="M79" s="517"/>
      <c r="N79" s="296"/>
      <c r="O79" s="59"/>
      <c r="P79" s="56"/>
      <c r="Q79" s="58"/>
      <c r="R79" s="56"/>
      <c r="S79" s="56"/>
      <c r="T79" s="56"/>
      <c r="U79" s="60"/>
      <c r="V79" s="56"/>
      <c r="W79" s="56"/>
      <c r="X79" s="56"/>
      <c r="Z79" s="297"/>
    </row>
    <row r="80" spans="2:26" ht="50.25" customHeight="1">
      <c r="B80" s="455"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Expenses on labor protection and industrial safety, fire safety and security of facilities</v>
      </c>
      <c r="C80" s="12" t="str">
        <f>IF(Contents!$B$2=2,"RR bln","млрд руб.")</f>
        <v>RR bln</v>
      </c>
      <c r="D80" s="72" t="s">
        <v>185</v>
      </c>
      <c r="E80" s="72" t="s">
        <v>185</v>
      </c>
      <c r="F80" s="72">
        <v>1.1679999999999999</v>
      </c>
      <c r="G80" s="72">
        <v>1.4470000000000001</v>
      </c>
      <c r="H80" s="72">
        <v>1.651</v>
      </c>
      <c r="I80" s="72">
        <v>3.4</v>
      </c>
      <c r="J80" s="460">
        <v>3.7</v>
      </c>
      <c r="K80" s="460">
        <v>3.6</v>
      </c>
      <c r="L80" s="460">
        <v>5</v>
      </c>
      <c r="M80" s="460">
        <v>6.6</v>
      </c>
      <c r="N80" s="794">
        <v>7.2</v>
      </c>
      <c r="P80" s="598"/>
      <c r="Q80" s="58"/>
      <c r="R80" s="615"/>
      <c r="S80" s="277"/>
      <c r="T80" s="277"/>
      <c r="U80" s="273" t="str">
        <f>IF(Contents!$B$2=2,"PBCS 27","СОКБ 27")</f>
        <v>PBCS 27</v>
      </c>
      <c r="V80" s="56"/>
      <c r="W80" s="56">
        <v>3</v>
      </c>
      <c r="X80" s="56"/>
      <c r="Z80" s="346" t="s">
        <v>179</v>
      </c>
    </row>
    <row r="81" spans="2:27" ht="33.75" customHeight="1">
      <c r="B81" s="861"/>
      <c r="C81" s="12"/>
      <c r="D81" s="72"/>
      <c r="E81" s="72"/>
      <c r="F81" s="72"/>
      <c r="G81" s="72"/>
      <c r="H81" s="72"/>
      <c r="I81" s="72"/>
      <c r="J81" s="72"/>
      <c r="K81" s="460"/>
      <c r="L81" s="460"/>
      <c r="M81" s="460"/>
      <c r="N81" s="685"/>
      <c r="P81" s="598"/>
      <c r="R81" s="615"/>
      <c r="S81" s="277"/>
      <c r="T81" s="277"/>
      <c r="U81" s="273"/>
      <c r="V81" s="56"/>
      <c r="W81" s="56"/>
      <c r="X81" s="56"/>
      <c r="Z81" s="346"/>
    </row>
    <row r="82" spans="2:27">
      <c r="B82" s="461"/>
      <c r="C82" s="351"/>
      <c r="D82" s="352"/>
      <c r="E82" s="352"/>
      <c r="F82" s="352"/>
      <c r="G82" s="352"/>
      <c r="H82" s="352"/>
      <c r="I82" s="353"/>
      <c r="J82" s="352"/>
      <c r="K82" s="352"/>
      <c r="L82" s="352"/>
      <c r="M82" s="352"/>
      <c r="N82" s="352"/>
      <c r="O82" s="352"/>
      <c r="P82" s="627"/>
      <c r="Q82" s="352"/>
      <c r="R82" s="627"/>
      <c r="S82" s="627"/>
      <c r="T82" s="627"/>
      <c r="U82" s="628"/>
      <c r="V82" s="627"/>
      <c r="W82" s="627"/>
      <c r="X82" s="627"/>
      <c r="Y82" s="627"/>
      <c r="Z82" s="642"/>
      <c r="AA82" s="627"/>
    </row>
    <row r="83" spans="2:27">
      <c r="B83" s="462"/>
      <c r="P83" s="598"/>
      <c r="V83" s="56"/>
      <c r="W83" s="56"/>
      <c r="X83" s="56"/>
      <c r="Z83" s="346"/>
    </row>
    <row r="84" spans="2:27" ht="32.1" customHeight="1">
      <c r="B84" s="141" t="str">
        <f>IF(Contents!$B$2=2,"For more information, see the Sustainable Development Reports for 2020-2025 (the Safety chapter).","Для получения дополнительной информации см. Отчеты об устойчивом развитии за 2020-2025 гг. (глава «Безопасность»).")</f>
        <v>For more information, see the Sustainable Development Reports for 2020-2025 (the Safety chapter).</v>
      </c>
      <c r="M84" s="460"/>
      <c r="P84" s="598"/>
      <c r="V84" s="56"/>
      <c r="W84" s="56"/>
      <c r="X84" s="56"/>
      <c r="Z84" s="346"/>
    </row>
    <row r="85" spans="2:27">
      <c r="B85" s="463"/>
      <c r="M85" s="460"/>
      <c r="P85" s="598"/>
      <c r="V85" s="56"/>
      <c r="W85" s="56"/>
      <c r="X85" s="56"/>
      <c r="Z85" s="346"/>
    </row>
    <row r="86" spans="2:27">
      <c r="V86" s="56"/>
      <c r="W86" s="56"/>
      <c r="X86" s="56"/>
    </row>
    <row r="87" spans="2:27">
      <c r="V87" s="56"/>
      <c r="W87" s="56"/>
      <c r="X87" s="56"/>
    </row>
    <row r="88" spans="2:27">
      <c r="V88" s="56"/>
      <c r="W88" s="56"/>
      <c r="X88" s="56"/>
    </row>
    <row r="89" spans="2:27">
      <c r="V89" s="56"/>
      <c r="W89" s="56"/>
      <c r="X89" s="56"/>
    </row>
    <row r="90" spans="2:27">
      <c r="V90" s="56"/>
      <c r="W90" s="56"/>
      <c r="X90" s="56"/>
    </row>
    <row r="91" spans="2:27">
      <c r="V91" s="56"/>
      <c r="W91" s="56"/>
      <c r="X91" s="56"/>
    </row>
    <row r="92" spans="2:27">
      <c r="V92" s="56"/>
      <c r="W92" s="56"/>
      <c r="X92" s="56"/>
    </row>
    <row r="93" spans="2:27">
      <c r="V93" s="56"/>
      <c r="W93" s="56"/>
      <c r="X93" s="56"/>
    </row>
    <row r="94" spans="2:27">
      <c r="V94" s="56"/>
      <c r="W94" s="56"/>
      <c r="X94" s="56"/>
    </row>
    <row r="95" spans="2:27">
      <c r="V95" s="56"/>
      <c r="W95" s="56"/>
      <c r="X95" s="56"/>
    </row>
    <row r="96" spans="2:27">
      <c r="V96" s="56"/>
      <c r="W96" s="56"/>
      <c r="X96" s="56"/>
    </row>
    <row r="97" spans="22:24">
      <c r="V97" s="56"/>
      <c r="W97" s="56"/>
      <c r="X97" s="56"/>
    </row>
    <row r="98" spans="22:24">
      <c r="V98" s="56"/>
      <c r="W98" s="56"/>
      <c r="X98" s="56"/>
    </row>
    <row r="99" spans="22:24">
      <c r="V99" s="56"/>
      <c r="W99" s="56"/>
      <c r="X99" s="56"/>
    </row>
    <row r="100" spans="22:24">
      <c r="V100" s="56"/>
      <c r="W100" s="56"/>
      <c r="X100" s="56"/>
    </row>
    <row r="101" spans="22:24">
      <c r="V101" s="56"/>
      <c r="W101" s="56"/>
      <c r="X101" s="56"/>
    </row>
    <row r="102" spans="22:24">
      <c r="V102" s="56"/>
      <c r="W102" s="56"/>
      <c r="X102" s="56"/>
    </row>
    <row r="103" spans="22:24">
      <c r="V103" s="56"/>
      <c r="W103" s="56"/>
      <c r="X103" s="56"/>
    </row>
    <row r="104" spans="22:24">
      <c r="V104" s="56"/>
      <c r="W104" s="56"/>
      <c r="X104" s="56"/>
    </row>
    <row r="105" spans="22:24">
      <c r="V105" s="56"/>
      <c r="W105" s="56"/>
      <c r="X105" s="56"/>
    </row>
    <row r="106" spans="22:24">
      <c r="V106" s="56"/>
      <c r="W106" s="56"/>
      <c r="X106" s="56"/>
    </row>
    <row r="107" spans="22:24">
      <c r="V107" s="56"/>
      <c r="W107" s="56"/>
      <c r="X107" s="56"/>
    </row>
    <row r="108" spans="22:24">
      <c r="V108" s="56"/>
      <c r="W108" s="56"/>
      <c r="X108" s="56"/>
    </row>
    <row r="109" spans="22:24">
      <c r="W109" s="56"/>
    </row>
    <row r="110" spans="22:24">
      <c r="W110" s="56"/>
    </row>
  </sheetData>
  <hyperlinks>
    <hyperlink ref="B3" location="'Occupational health and safety'!B8" display="'Occupational health and safety'!B8"/>
    <hyperlink ref="B84" r:id="rId1" display="https://www.novatek.ru/en/development/archive/"/>
    <hyperlink ref="B1" location="Contents!A1" display="← Back to Contents"/>
  </hyperlinks>
  <pageMargins left="0.7" right="0.7" top="0.75" bottom="0.75" header="0.3" footer="0.3"/>
  <pageSetup paperSize="9" orientation="portrait" r:id="rId2"/>
  <ignoredErrors>
    <ignoredError sqref="B70" 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Y71"/>
  <sheetViews>
    <sheetView zoomScale="50" zoomScaleNormal="50" workbookViewId="0">
      <pane xSplit="1" ySplit="7" topLeftCell="B8" activePane="bottomRight" state="frozen"/>
      <selection pane="topRight" activeCell="B1" sqref="B1"/>
      <selection pane="bottomLeft" activeCell="A8" sqref="A8"/>
      <selection pane="bottomRight" activeCell="N28" sqref="N28:N33"/>
    </sheetView>
  </sheetViews>
  <sheetFormatPr defaultColWidth="8.85546875" defaultRowHeight="18.75"/>
  <cols>
    <col min="1" max="1" width="10.4257812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22.85546875" style="253" customWidth="1"/>
    <col min="16" max="16" width="15.42578125" style="606" customWidth="1"/>
    <col min="17" max="17" width="14.140625" style="253" customWidth="1"/>
    <col min="18" max="20" width="20.42578125" style="606" customWidth="1"/>
    <col min="21" max="21" width="20.42578125" style="607" customWidth="1"/>
    <col min="22" max="22" width="5.42578125" style="606" customWidth="1"/>
    <col min="23" max="23" width="15.42578125" style="606" customWidth="1"/>
    <col min="24" max="25" width="5.42578125" style="606" customWidth="1"/>
    <col min="26" max="16384" width="8.85546875" style="1"/>
  </cols>
  <sheetData>
    <row r="1" spans="1:25" ht="80.25" customHeight="1">
      <c r="B1" s="487" t="s">
        <v>168</v>
      </c>
      <c r="G1" s="254"/>
    </row>
    <row r="2" spans="1:25">
      <c r="B2" s="151" t="str">
        <f>IF(Contents!$B$2=2,"CONTENTS","СОДЕРЖАНИЕ")</f>
        <v>CONTENTS</v>
      </c>
      <c r="C2" s="711"/>
      <c r="D2" s="711"/>
      <c r="E2" s="711"/>
      <c r="F2" s="711"/>
      <c r="G2" s="711"/>
      <c r="H2" s="711"/>
      <c r="I2" s="711"/>
      <c r="J2" s="711"/>
      <c r="K2" s="711"/>
      <c r="L2" s="711"/>
      <c r="M2" s="711"/>
      <c r="N2" s="711"/>
      <c r="U2" s="606"/>
    </row>
    <row r="3" spans="1:25">
      <c r="B3" s="575" t="str">
        <f>IF(Contents!$B$2=2, "External social expenses", "Внешние социальные расходы")</f>
        <v>External social expenses</v>
      </c>
      <c r="C3" s="575" t="str">
        <f>IF(Contents!$B$2=2, "Volunteering", "Волонтерство")</f>
        <v>Volunteering</v>
      </c>
      <c r="D3" s="575"/>
      <c r="E3" s="575" t="str">
        <f>IF(Contents!$B$2=2, "Co-operation with indigenous minorities of the North", "Взаимодействие с коренными малочисленными народами севера (КМНС)")</f>
        <v>Co-operation with indigenous minorities of the North</v>
      </c>
      <c r="F3" s="575"/>
      <c r="G3" s="575"/>
      <c r="H3" s="575"/>
      <c r="I3" s="575"/>
      <c r="J3" s="575"/>
      <c r="K3" s="575"/>
      <c r="L3" s="575"/>
      <c r="M3" s="575"/>
      <c r="N3" s="575"/>
      <c r="U3" s="606"/>
    </row>
    <row r="4" spans="1:25">
      <c r="B4" s="575"/>
      <c r="C4" s="575"/>
      <c r="D4" s="575"/>
      <c r="E4" s="575"/>
      <c r="F4" s="575"/>
      <c r="G4" s="575"/>
      <c r="H4" s="575"/>
      <c r="I4" s="710"/>
      <c r="J4" s="710"/>
      <c r="K4" s="710"/>
      <c r="L4" s="710"/>
      <c r="M4" s="710"/>
      <c r="N4" s="710"/>
      <c r="U4" s="606"/>
    </row>
    <row r="5" spans="1:25">
      <c r="B5" s="483"/>
      <c r="C5" s="709"/>
      <c r="D5" s="483"/>
      <c r="E5" s="708"/>
      <c r="F5" s="708"/>
      <c r="G5" s="708"/>
      <c r="H5" s="483"/>
      <c r="I5" s="483"/>
      <c r="J5" s="707"/>
      <c r="K5" s="707"/>
      <c r="L5" s="707"/>
      <c r="M5" s="707"/>
      <c r="N5" s="707"/>
      <c r="U5" s="606"/>
    </row>
    <row r="6" spans="1:25" ht="30">
      <c r="A6" s="699"/>
      <c r="B6" s="464" t="str">
        <f>IF(Contents!$B$2=2,"Local communities","Местные сообщества")</f>
        <v>Local communities</v>
      </c>
      <c r="C6" s="706"/>
      <c r="D6" s="706"/>
      <c r="E6" s="705"/>
      <c r="F6" s="704"/>
      <c r="G6" s="704"/>
      <c r="H6" s="704"/>
      <c r="I6" s="703"/>
      <c r="J6" s="702"/>
      <c r="K6" s="702"/>
      <c r="L6" s="702"/>
      <c r="M6" s="702"/>
      <c r="N6" s="702"/>
      <c r="P6" s="700"/>
      <c r="R6" s="700"/>
      <c r="S6" s="700"/>
      <c r="T6" s="700"/>
      <c r="U6" s="701"/>
      <c r="V6" s="56"/>
      <c r="W6" s="700"/>
      <c r="X6" s="56"/>
    </row>
    <row r="7" spans="1:25" ht="54.95" customHeight="1">
      <c r="A7" s="699"/>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Subject to external assurance in 2025</v>
      </c>
      <c r="Q7" s="930"/>
      <c r="R7" s="602" t="str">
        <f>IF(Contents!$B$2=2,"GRI Disclosure, including GRI 11: Oil and Gas Sector 2021","Индексы Стандартов GRI, в т.ч. GRI 11: Oil and Gas Sector")</f>
        <v>GRI Disclosure, including GRI 11: Oil and Gas Sector 2021</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586" t="str">
        <f>IF(Contents!$B$2=2,"Report scope","Границы отчетности")</f>
        <v>Report scope</v>
      </c>
      <c r="X7" s="504"/>
      <c r="Y7" s="504"/>
    </row>
    <row r="8" spans="1:25" ht="51">
      <c r="A8" s="692"/>
      <c r="B8" s="691" t="str">
        <f>IF(Contents!$B$2=2, "External social expenses", "Внешние социальные расходы")</f>
        <v>External social expenses</v>
      </c>
      <c r="C8" s="691" t="str">
        <f>IF(Contents!$B$2=2,"RR bln","млрд руб.")</f>
        <v>RR bln</v>
      </c>
      <c r="D8" s="698">
        <v>1</v>
      </c>
      <c r="E8" s="690">
        <v>1.9</v>
      </c>
      <c r="F8" s="690">
        <v>2.8</v>
      </c>
      <c r="G8" s="690">
        <v>0.7</v>
      </c>
      <c r="H8" s="698">
        <v>2</v>
      </c>
      <c r="I8" s="690">
        <v>4.0999999999999996</v>
      </c>
      <c r="J8" s="690">
        <v>2.8</v>
      </c>
      <c r="K8" s="690">
        <v>3.3</v>
      </c>
      <c r="L8" s="698">
        <v>6</v>
      </c>
      <c r="M8" s="698">
        <v>7.5</v>
      </c>
      <c r="N8" s="698">
        <v>6.4</v>
      </c>
      <c r="P8" s="56" t="str">
        <f>IF(Contents!$B$2=2,"Yes","Да")</f>
        <v>Yes</v>
      </c>
      <c r="Q8" s="511"/>
      <c r="R8" s="297" t="s">
        <v>158</v>
      </c>
      <c r="S8" s="56"/>
      <c r="T8" s="56" t="s">
        <v>159</v>
      </c>
      <c r="U8" s="60"/>
      <c r="V8" s="56"/>
      <c r="W8" s="56">
        <v>2</v>
      </c>
      <c r="X8" s="56"/>
    </row>
    <row r="9" spans="1:25" ht="51">
      <c r="A9" s="842"/>
      <c r="B9" s="695" t="str">
        <f>IF(Contents!$B$2=2, "Expenses on participation in supporting social programs, including charities not targeting employees and their family members", "Расходы на участие в поддержке социальных, в том числе благотворительных программ, не направленных на работников и членов их семей")</f>
        <v>Expenses on participation in supporting social programs, including charities not targeting employees and their family members</v>
      </c>
      <c r="C9" s="186" t="str">
        <f>IF(Contents!$B$2=2,"RR mln","млн руб.")</f>
        <v>RR mln</v>
      </c>
      <c r="D9" s="46" t="s">
        <v>185</v>
      </c>
      <c r="E9" s="46" t="s">
        <v>185</v>
      </c>
      <c r="F9" s="46" t="s">
        <v>185</v>
      </c>
      <c r="G9" s="46" t="s">
        <v>185</v>
      </c>
      <c r="H9" s="46" t="s">
        <v>185</v>
      </c>
      <c r="I9" s="46" t="s">
        <v>185</v>
      </c>
      <c r="J9" s="46" t="s">
        <v>185</v>
      </c>
      <c r="K9" s="46" t="s">
        <v>185</v>
      </c>
      <c r="L9" s="58">
        <v>2523</v>
      </c>
      <c r="M9" s="58">
        <v>2227.1999999999998</v>
      </c>
      <c r="N9" s="794">
        <v>2251.6999999999998</v>
      </c>
      <c r="O9" s="874"/>
      <c r="P9" s="56"/>
      <c r="Q9" s="511"/>
      <c r="R9" s="297" t="s">
        <v>158</v>
      </c>
      <c r="S9" s="56"/>
      <c r="T9" s="56" t="s">
        <v>159</v>
      </c>
      <c r="U9" s="273" t="str">
        <f>IF(Contents!$B$2=2,"PBCS 35","СОКБ 35")</f>
        <v>PBCS 35</v>
      </c>
      <c r="V9" s="56"/>
      <c r="W9" s="56">
        <v>2</v>
      </c>
      <c r="X9" s="56"/>
    </row>
    <row r="10" spans="1:25">
      <c r="A10" s="842"/>
      <c r="B10" s="843" t="str">
        <f>IF(Contents!$B$2=2, "by area", "по сферам")</f>
        <v>by area</v>
      </c>
      <c r="C10" s="434"/>
      <c r="D10" s="46"/>
      <c r="E10" s="46"/>
      <c r="F10" s="46"/>
      <c r="G10" s="46"/>
      <c r="H10" s="46"/>
      <c r="I10" s="46"/>
      <c r="J10" s="46"/>
      <c r="K10" s="46"/>
      <c r="L10" s="685"/>
      <c r="M10" s="685"/>
      <c r="N10" s="794"/>
      <c r="P10" s="56"/>
      <c r="Q10" s="511"/>
      <c r="R10" s="297"/>
      <c r="S10" s="56"/>
      <c r="T10" s="56"/>
      <c r="U10" s="60"/>
      <c r="V10" s="56"/>
      <c r="W10" s="56"/>
      <c r="X10" s="56"/>
    </row>
    <row r="11" spans="1:25">
      <c r="A11" s="842"/>
      <c r="B11" s="232" t="str">
        <f>IF(Contents!$B$2=2, "Healthcare", "Здравоохранения")</f>
        <v>Healthcare</v>
      </c>
      <c r="C11" s="186" t="str">
        <f>IF(Contents!$B$2=2,"RR mln","млн руб.")</f>
        <v>RR mln</v>
      </c>
      <c r="D11" s="46" t="s">
        <v>185</v>
      </c>
      <c r="E11" s="46" t="s">
        <v>185</v>
      </c>
      <c r="F11" s="46" t="s">
        <v>185</v>
      </c>
      <c r="G11" s="46" t="s">
        <v>185</v>
      </c>
      <c r="H11" s="46" t="s">
        <v>185</v>
      </c>
      <c r="I11" s="46" t="s">
        <v>185</v>
      </c>
      <c r="J11" s="46" t="s">
        <v>185</v>
      </c>
      <c r="K11" s="46" t="s">
        <v>185</v>
      </c>
      <c r="L11" s="685">
        <v>28.2</v>
      </c>
      <c r="M11" s="685">
        <v>66.8</v>
      </c>
      <c r="N11" s="98">
        <v>337.3</v>
      </c>
      <c r="P11" s="56"/>
      <c r="Q11" s="511"/>
      <c r="R11" s="56"/>
      <c r="S11" s="56"/>
      <c r="T11" s="56"/>
      <c r="U11" s="273" t="str">
        <f>IF(Contents!$B$2=2,"PBCS 76","СОКБ 76")</f>
        <v>PBCS 76</v>
      </c>
      <c r="V11" s="56"/>
      <c r="W11" s="56">
        <v>2</v>
      </c>
      <c r="X11" s="56"/>
    </row>
    <row r="12" spans="1:25">
      <c r="A12" s="842"/>
      <c r="B12" s="232" t="str">
        <f>IF(Contents!$B$2=2, "Education and science", "Образования и науки")</f>
        <v>Education and science</v>
      </c>
      <c r="C12" s="186" t="str">
        <f>IF(Contents!$B$2=2,"RR mln","млн руб.")</f>
        <v>RR mln</v>
      </c>
      <c r="D12" s="46" t="s">
        <v>185</v>
      </c>
      <c r="E12" s="46" t="s">
        <v>185</v>
      </c>
      <c r="F12" s="46" t="s">
        <v>185</v>
      </c>
      <c r="G12" s="46" t="s">
        <v>185</v>
      </c>
      <c r="H12" s="46" t="s">
        <v>185</v>
      </c>
      <c r="I12" s="46" t="s">
        <v>185</v>
      </c>
      <c r="J12" s="46" t="s">
        <v>185</v>
      </c>
      <c r="K12" s="46" t="s">
        <v>185</v>
      </c>
      <c r="L12" s="685">
        <v>37.5</v>
      </c>
      <c r="M12" s="685">
        <v>52.4</v>
      </c>
      <c r="N12" s="794">
        <v>101.5</v>
      </c>
      <c r="P12" s="56"/>
      <c r="Q12" s="511"/>
      <c r="R12" s="56"/>
      <c r="S12" s="56"/>
      <c r="T12" s="56"/>
      <c r="U12" s="299"/>
      <c r="V12" s="56"/>
      <c r="W12" s="56">
        <v>2</v>
      </c>
      <c r="X12" s="56"/>
    </row>
    <row r="13" spans="1:25">
      <c r="A13" s="842"/>
      <c r="B13" s="232" t="str">
        <f>IF(Contents!$B$2=2, "Sports", "Спорта")</f>
        <v>Sports</v>
      </c>
      <c r="C13" s="186" t="str">
        <f>IF(Contents!$B$2=2,"RR mln","млн руб.")</f>
        <v>RR mln</v>
      </c>
      <c r="D13" s="46" t="s">
        <v>185</v>
      </c>
      <c r="E13" s="46" t="s">
        <v>185</v>
      </c>
      <c r="F13" s="46" t="s">
        <v>185</v>
      </c>
      <c r="G13" s="46" t="s">
        <v>185</v>
      </c>
      <c r="H13" s="46" t="s">
        <v>185</v>
      </c>
      <c r="I13" s="46" t="s">
        <v>185</v>
      </c>
      <c r="J13" s="46" t="s">
        <v>185</v>
      </c>
      <c r="K13" s="46" t="s">
        <v>185</v>
      </c>
      <c r="L13" s="685">
        <v>54.2</v>
      </c>
      <c r="M13" s="685">
        <v>73.599999999999994</v>
      </c>
      <c r="N13" s="794">
        <v>99.9</v>
      </c>
      <c r="P13" s="56"/>
      <c r="Q13" s="511"/>
      <c r="R13" s="56"/>
      <c r="S13" s="56"/>
      <c r="T13" s="56"/>
      <c r="U13" s="299"/>
      <c r="V13" s="56"/>
      <c r="W13" s="56">
        <v>2</v>
      </c>
      <c r="X13" s="56"/>
    </row>
    <row r="14" spans="1:25">
      <c r="A14" s="842"/>
      <c r="B14" s="232" t="str">
        <f>IF(Contents!$B$2=2, "Culture and arts", "Культуры и искусства")</f>
        <v>Culture and arts</v>
      </c>
      <c r="C14" s="186" t="str">
        <f>IF(Contents!$B$2=2,"RR mln","млн руб.")</f>
        <v>RR mln</v>
      </c>
      <c r="D14" s="46" t="s">
        <v>185</v>
      </c>
      <c r="E14" s="46" t="s">
        <v>185</v>
      </c>
      <c r="F14" s="46" t="s">
        <v>185</v>
      </c>
      <c r="G14" s="46" t="s">
        <v>185</v>
      </c>
      <c r="H14" s="46" t="s">
        <v>185</v>
      </c>
      <c r="I14" s="46" t="s">
        <v>185</v>
      </c>
      <c r="J14" s="46" t="s">
        <v>185</v>
      </c>
      <c r="K14" s="46" t="s">
        <v>185</v>
      </c>
      <c r="L14" s="685">
        <v>1.2</v>
      </c>
      <c r="M14" s="685">
        <v>234.9</v>
      </c>
      <c r="N14" s="98">
        <v>219.4</v>
      </c>
      <c r="P14" s="56"/>
      <c r="Q14" s="511"/>
      <c r="R14" s="56"/>
      <c r="S14" s="56"/>
      <c r="T14" s="56"/>
      <c r="U14" s="273" t="str">
        <f>IF(Contents!$B$2=2,"PBCS 83","СОКБ 83")</f>
        <v>PBCS 83</v>
      </c>
      <c r="V14" s="56"/>
      <c r="W14" s="56">
        <v>2</v>
      </c>
      <c r="X14" s="56"/>
    </row>
    <row r="15" spans="1:25">
      <c r="A15" s="842"/>
      <c r="B15" s="232" t="str">
        <f>IF(Contents!$B$2=2, "Improvement and development of a comfortable urban environment", "Благоустройства и развития комфортной городской среды")</f>
        <v>Improvement and development of a comfortable urban environment</v>
      </c>
      <c r="C15" s="186" t="str">
        <f>IF(Contents!$B$2=2,"RR mln","млн руб.")</f>
        <v>RR mln</v>
      </c>
      <c r="D15" s="46" t="s">
        <v>185</v>
      </c>
      <c r="E15" s="46" t="s">
        <v>185</v>
      </c>
      <c r="F15" s="46" t="s">
        <v>185</v>
      </c>
      <c r="G15" s="46" t="s">
        <v>185</v>
      </c>
      <c r="H15" s="46" t="s">
        <v>185</v>
      </c>
      <c r="I15" s="46" t="s">
        <v>185</v>
      </c>
      <c r="J15" s="46" t="s">
        <v>185</v>
      </c>
      <c r="K15" s="46" t="s">
        <v>185</v>
      </c>
      <c r="L15" s="685">
        <v>2401.9</v>
      </c>
      <c r="M15" s="685">
        <v>1799.5</v>
      </c>
      <c r="N15" s="794">
        <v>1493.6</v>
      </c>
      <c r="P15" s="56"/>
      <c r="Q15" s="511"/>
      <c r="R15" s="56"/>
      <c r="S15" s="56"/>
      <c r="T15" s="56"/>
      <c r="U15" s="60"/>
      <c r="V15" s="56"/>
      <c r="W15" s="56">
        <v>2</v>
      </c>
      <c r="X15" s="56"/>
    </row>
    <row r="16" spans="1:25">
      <c r="A16" s="842"/>
      <c r="B16" s="695"/>
      <c r="C16" s="447"/>
      <c r="D16" s="46"/>
      <c r="E16" s="46"/>
      <c r="F16" s="46"/>
      <c r="G16" s="46"/>
      <c r="H16" s="46"/>
      <c r="I16" s="46"/>
      <c r="J16" s="46"/>
      <c r="K16" s="46"/>
      <c r="L16" s="46"/>
      <c r="M16" s="46"/>
      <c r="N16" s="46"/>
      <c r="P16" s="56"/>
      <c r="Q16" s="511"/>
      <c r="R16" s="297"/>
      <c r="S16" s="56"/>
      <c r="T16" s="56"/>
      <c r="U16" s="273"/>
      <c r="V16" s="56"/>
      <c r="W16" s="56"/>
      <c r="X16" s="56"/>
    </row>
    <row r="17" spans="1:24" ht="20.100000000000001" customHeight="1">
      <c r="A17" s="842"/>
      <c r="B17" s="844" t="str">
        <f>IF(Contents!$B$2=2, "Volunteering", "Волонтерство")</f>
        <v>Volunteering</v>
      </c>
      <c r="C17" s="844"/>
      <c r="D17" s="845"/>
      <c r="E17" s="845"/>
      <c r="F17" s="845"/>
      <c r="G17" s="845"/>
      <c r="H17" s="845"/>
      <c r="I17" s="845"/>
      <c r="J17" s="845"/>
      <c r="K17" s="845"/>
      <c r="L17" s="845"/>
      <c r="M17" s="845"/>
      <c r="N17" s="845"/>
      <c r="P17" s="56"/>
      <c r="Q17" s="511"/>
      <c r="U17" s="606"/>
      <c r="W17" s="56"/>
    </row>
    <row r="18" spans="1:24">
      <c r="A18" s="842"/>
      <c r="B18" s="697" t="str">
        <f>IF(Contents!$B$2=2, "Expenses on volunteer activities", "Расходы на добровольческую (волонтерскую) деятельность")</f>
        <v>Expenses on volunteer activities</v>
      </c>
      <c r="C18" s="447" t="str">
        <f>IF(Contents!$B$2=2,"RR mln","млн руб.")</f>
        <v>RR mln</v>
      </c>
      <c r="D18" s="46" t="s">
        <v>185</v>
      </c>
      <c r="E18" s="46" t="s">
        <v>185</v>
      </c>
      <c r="F18" s="46" t="s">
        <v>185</v>
      </c>
      <c r="G18" s="46" t="s">
        <v>185</v>
      </c>
      <c r="H18" s="46" t="s">
        <v>185</v>
      </c>
      <c r="I18" s="46" t="s">
        <v>185</v>
      </c>
      <c r="J18" s="46" t="s">
        <v>185</v>
      </c>
      <c r="K18" s="46" t="s">
        <v>185</v>
      </c>
      <c r="L18" s="696" t="s">
        <v>185</v>
      </c>
      <c r="M18" s="685">
        <v>0.7</v>
      </c>
      <c r="N18" s="794">
        <v>0.8</v>
      </c>
      <c r="P18" s="56"/>
      <c r="Q18" s="511"/>
      <c r="R18" s="297"/>
      <c r="S18" s="56"/>
      <c r="T18" s="56"/>
      <c r="U18" s="273" t="str">
        <f>IF(Contents!$B$2=2,"PBCS 82","СОКБ 82")</f>
        <v>PBCS 82</v>
      </c>
      <c r="V18" s="56"/>
      <c r="W18" s="56">
        <v>2</v>
      </c>
      <c r="X18" s="56"/>
    </row>
    <row r="19" spans="1:24">
      <c r="A19" s="842"/>
      <c r="B19" s="697" t="str">
        <f>IF(Contents!$B$2=2, "Percentage of employee volunteers", "Доля волонтеров среди работников")</f>
        <v>Percentage of employee volunteers</v>
      </c>
      <c r="C19" s="447" t="s">
        <v>0</v>
      </c>
      <c r="D19" s="46" t="s">
        <v>185</v>
      </c>
      <c r="E19" s="46" t="s">
        <v>185</v>
      </c>
      <c r="F19" s="46" t="s">
        <v>185</v>
      </c>
      <c r="G19" s="46" t="s">
        <v>185</v>
      </c>
      <c r="H19" s="46" t="s">
        <v>185</v>
      </c>
      <c r="I19" s="46" t="s">
        <v>185</v>
      </c>
      <c r="J19" s="46" t="s">
        <v>185</v>
      </c>
      <c r="K19" s="46" t="s">
        <v>185</v>
      </c>
      <c r="L19" s="696" t="s">
        <v>185</v>
      </c>
      <c r="M19" s="685">
        <v>6.6</v>
      </c>
      <c r="N19" s="794">
        <v>10</v>
      </c>
      <c r="P19" s="56"/>
      <c r="Q19" s="511"/>
      <c r="R19" s="297"/>
      <c r="S19" s="56"/>
      <c r="T19" s="56"/>
      <c r="U19" s="273" t="str">
        <f>IF(Contents!$B$2=2,"PBCS 37","СОКБ 37")</f>
        <v>PBCS 37</v>
      </c>
      <c r="V19" s="56"/>
      <c r="W19" s="56">
        <v>2</v>
      </c>
      <c r="X19" s="56"/>
    </row>
    <row r="20" spans="1:24">
      <c r="A20" s="842"/>
      <c r="B20" s="697" t="str">
        <f>IF(Contents!$B$2=2, "Number of volunteer projects", "Количество волонтерских проектов")</f>
        <v>Number of volunteer projects</v>
      </c>
      <c r="C20" s="447" t="str">
        <f>IF(Contents!$B$2=2,"unit","ед.")</f>
        <v>unit</v>
      </c>
      <c r="D20" s="46" t="s">
        <v>185</v>
      </c>
      <c r="E20" s="46" t="s">
        <v>185</v>
      </c>
      <c r="F20" s="46" t="s">
        <v>185</v>
      </c>
      <c r="G20" s="46" t="s">
        <v>185</v>
      </c>
      <c r="H20" s="46" t="s">
        <v>185</v>
      </c>
      <c r="I20" s="46" t="s">
        <v>185</v>
      </c>
      <c r="J20" s="46" t="s">
        <v>185</v>
      </c>
      <c r="K20" s="46" t="s">
        <v>185</v>
      </c>
      <c r="L20" s="696" t="s">
        <v>185</v>
      </c>
      <c r="M20" s="58">
        <v>7</v>
      </c>
      <c r="N20" s="98">
        <v>8</v>
      </c>
      <c r="P20" s="56"/>
      <c r="Q20" s="511"/>
      <c r="R20" s="297"/>
      <c r="S20" s="56"/>
      <c r="T20" s="56"/>
      <c r="U20" s="273" t="str">
        <f>IF(Contents!$B$2=2,"PBCS 37","СОКБ 37")</f>
        <v>PBCS 37</v>
      </c>
      <c r="V20" s="56"/>
      <c r="W20" s="56">
        <v>2</v>
      </c>
      <c r="X20" s="56"/>
    </row>
    <row r="21" spans="1:24">
      <c r="A21" s="842"/>
      <c r="B21" s="695"/>
      <c r="C21" s="694"/>
      <c r="D21" s="693"/>
      <c r="E21" s="693"/>
      <c r="F21" s="693"/>
      <c r="G21" s="693"/>
      <c r="H21" s="693"/>
      <c r="I21" s="693"/>
      <c r="J21" s="693"/>
      <c r="K21" s="693"/>
      <c r="L21" s="693"/>
      <c r="M21" s="693"/>
      <c r="N21" s="693"/>
      <c r="P21" s="56"/>
      <c r="R21" s="56"/>
      <c r="S21" s="56"/>
      <c r="T21" s="56"/>
      <c r="U21" s="60"/>
      <c r="V21" s="56"/>
      <c r="W21" s="56"/>
      <c r="X21" s="56"/>
    </row>
    <row r="22" spans="1:24">
      <c r="A22" s="842"/>
      <c r="B22" s="25" t="str">
        <f>IF(Contents!$B$2=2,"Notes:","Примечания:")</f>
        <v>Notes:</v>
      </c>
      <c r="C22" s="694"/>
      <c r="D22" s="693"/>
      <c r="E22" s="693"/>
      <c r="F22" s="693"/>
      <c r="G22" s="693"/>
      <c r="H22" s="693"/>
      <c r="I22" s="693"/>
      <c r="J22" s="693"/>
      <c r="K22" s="693"/>
      <c r="L22" s="693"/>
      <c r="M22" s="693"/>
      <c r="N22" s="693"/>
      <c r="P22" s="56"/>
      <c r="R22" s="56"/>
      <c r="S22" s="56"/>
      <c r="T22" s="56"/>
      <c r="U22" s="60"/>
      <c r="V22" s="56"/>
      <c r="W22" s="56"/>
      <c r="X22" s="56"/>
    </row>
    <row r="23" spans="1:24">
      <c r="B23" s="26" t="str">
        <f>IF(Contents!$B$2=2,"Employees who took part in environmental clean-ups and events are taken into account when calculating the Percentage of employee volunteers.","В расчете доли волонтеров среди работников учтены работники, принявшие участие в экологических субботниках и мероприятиях.")</f>
        <v>Employees who took part in environmental clean-ups and events are taken into account when calculating the Percentage of employee volunteers.</v>
      </c>
      <c r="C23" s="694"/>
      <c r="D23" s="693"/>
      <c r="E23" s="693"/>
      <c r="F23" s="693"/>
      <c r="G23" s="693"/>
      <c r="H23" s="693"/>
      <c r="I23" s="693"/>
      <c r="J23" s="693"/>
      <c r="K23" s="693"/>
      <c r="L23" s="693"/>
      <c r="M23" s="693"/>
      <c r="N23" s="693"/>
      <c r="P23" s="56"/>
      <c r="R23" s="56"/>
      <c r="S23" s="56"/>
      <c r="T23" s="56"/>
      <c r="U23" s="60"/>
      <c r="V23" s="56"/>
      <c r="W23" s="56"/>
      <c r="X23" s="56"/>
    </row>
    <row r="24" spans="1:24">
      <c r="B24" s="695"/>
      <c r="C24" s="694"/>
      <c r="D24" s="693"/>
      <c r="E24" s="693"/>
      <c r="F24" s="693"/>
      <c r="G24" s="693"/>
      <c r="H24" s="693"/>
      <c r="I24" s="693"/>
      <c r="J24" s="693"/>
      <c r="K24" s="693"/>
      <c r="L24" s="693"/>
      <c r="M24" s="693"/>
      <c r="N24" s="693"/>
      <c r="P24" s="56"/>
      <c r="R24" s="56"/>
      <c r="S24" s="56"/>
      <c r="T24" s="56"/>
      <c r="U24" s="60"/>
      <c r="V24" s="56"/>
      <c r="W24" s="56"/>
      <c r="X24" s="56"/>
    </row>
    <row r="25" spans="1:24" ht="20.100000000000001" customHeight="1">
      <c r="A25" s="692"/>
      <c r="B25" s="18" t="str">
        <f>IF(Contents!$B$2=2, "Co-operation with indigenous minorities of the North", "Взаимодействие с коренными малочисленными народами севера (КМНС)")</f>
        <v>Co-operation with indigenous minorities of the North</v>
      </c>
      <c r="C25" s="691"/>
      <c r="D25" s="690"/>
      <c r="E25" s="690"/>
      <c r="F25" s="690"/>
      <c r="G25" s="690"/>
      <c r="H25" s="690"/>
      <c r="I25" s="690"/>
      <c r="J25" s="690"/>
      <c r="K25" s="690"/>
      <c r="L25" s="690"/>
      <c r="M25" s="690"/>
      <c r="N25" s="690"/>
      <c r="U25" s="606"/>
    </row>
    <row r="26" spans="1:24" ht="51">
      <c r="A26" s="692"/>
      <c r="B26" s="684" t="str">
        <f>IF(Contents!$B$2=2, "Amount of funds allocated to support the indigenous peoples of the Far North", "Объем денежных средств, направленных на поддержку КМНС")</f>
        <v>Amount of funds allocated to support the indigenous peoples of the Far North</v>
      </c>
      <c r="C26" s="689" t="str">
        <f>IF(Contents!$B$2=2,"RR mln","млн руб.")</f>
        <v>RR mln</v>
      </c>
      <c r="D26" s="372" t="s">
        <v>185</v>
      </c>
      <c r="E26" s="372" t="s">
        <v>185</v>
      </c>
      <c r="F26" s="372" t="s">
        <v>185</v>
      </c>
      <c r="G26" s="372" t="s">
        <v>185</v>
      </c>
      <c r="H26" s="372" t="s">
        <v>185</v>
      </c>
      <c r="I26" s="372" t="s">
        <v>185</v>
      </c>
      <c r="J26" s="688">
        <v>145</v>
      </c>
      <c r="K26" s="688">
        <v>283</v>
      </c>
      <c r="L26" s="688">
        <v>248.5</v>
      </c>
      <c r="M26" s="688">
        <v>207.3</v>
      </c>
      <c r="N26" s="688">
        <v>279.39100000000002</v>
      </c>
      <c r="O26" s="885"/>
      <c r="P26" s="56" t="str">
        <f>IF(Contents!$B$2=2,"Yes","Да")</f>
        <v>Yes</v>
      </c>
      <c r="Q26" s="511"/>
      <c r="R26" s="297" t="s">
        <v>158</v>
      </c>
      <c r="S26" s="56"/>
      <c r="T26" s="56" t="s">
        <v>159</v>
      </c>
      <c r="U26" s="60"/>
      <c r="V26" s="56"/>
      <c r="W26" s="56">
        <v>2</v>
      </c>
      <c r="X26" s="56"/>
    </row>
    <row r="27" spans="1:24">
      <c r="A27" s="692"/>
      <c r="B27" s="453" t="str">
        <f>IF(Contents!$B$2=2, "by area", "по направлениям")</f>
        <v>by area</v>
      </c>
      <c r="C27" s="687"/>
      <c r="D27" s="111"/>
      <c r="E27" s="111"/>
      <c r="F27" s="111"/>
      <c r="G27" s="111"/>
      <c r="H27" s="111"/>
      <c r="I27" s="111"/>
      <c r="J27" s="111"/>
      <c r="K27" s="111"/>
      <c r="L27" s="686"/>
      <c r="M27" s="686"/>
      <c r="N27" s="686"/>
      <c r="P27" s="56"/>
      <c r="Q27" s="511"/>
      <c r="R27" s="297"/>
      <c r="S27" s="56"/>
      <c r="T27" s="56"/>
      <c r="U27" s="60"/>
      <c r="V27" s="56"/>
      <c r="W27" s="56"/>
      <c r="X27" s="56"/>
    </row>
    <row r="28" spans="1:24">
      <c r="A28" s="692"/>
      <c r="B28" s="232" t="str">
        <f>IF(Contents!$B$2=2, "Support for reindeer herding and traditional lifestyles", "Поддержка оленеводства и традиционного образа жизни")</f>
        <v>Support for reindeer herding and traditional lifestyles</v>
      </c>
      <c r="C28" s="447" t="str">
        <f>IF(Contents!$B$2=2,"RR mln","млн руб.")</f>
        <v>RR mln</v>
      </c>
      <c r="D28" s="46" t="s">
        <v>185</v>
      </c>
      <c r="E28" s="46" t="s">
        <v>185</v>
      </c>
      <c r="F28" s="46" t="s">
        <v>185</v>
      </c>
      <c r="G28" s="46" t="s">
        <v>185</v>
      </c>
      <c r="H28" s="46" t="s">
        <v>185</v>
      </c>
      <c r="I28" s="46" t="s">
        <v>185</v>
      </c>
      <c r="J28" s="46" t="s">
        <v>185</v>
      </c>
      <c r="K28" s="46" t="s">
        <v>185</v>
      </c>
      <c r="L28" s="685">
        <v>106.5</v>
      </c>
      <c r="M28" s="685">
        <v>154.80000000000001</v>
      </c>
      <c r="N28" s="794">
        <v>210</v>
      </c>
      <c r="P28" s="56" t="str">
        <f>IF(Contents!$B$2=2,"Yes","Да")</f>
        <v>Yes</v>
      </c>
      <c r="Q28" s="511"/>
      <c r="R28" s="56"/>
      <c r="S28" s="56"/>
      <c r="T28" s="56"/>
      <c r="U28" s="60"/>
      <c r="V28" s="56"/>
      <c r="W28" s="56">
        <v>2</v>
      </c>
      <c r="X28" s="56"/>
    </row>
    <row r="29" spans="1:24">
      <c r="A29" s="692"/>
      <c r="B29" s="232" t="str">
        <f>IF(Contents!$B$2=2, "Support for language, culture, and customs", "Поддержка языка, культуры и обычаев")</f>
        <v>Support for language, culture, and customs</v>
      </c>
      <c r="C29" s="447" t="str">
        <f>IF(Contents!$B$2=2,"RR mln","млн руб.")</f>
        <v>RR mln</v>
      </c>
      <c r="D29" s="46" t="s">
        <v>185</v>
      </c>
      <c r="E29" s="46" t="s">
        <v>185</v>
      </c>
      <c r="F29" s="46" t="s">
        <v>185</v>
      </c>
      <c r="G29" s="46" t="s">
        <v>185</v>
      </c>
      <c r="H29" s="46" t="s">
        <v>185</v>
      </c>
      <c r="I29" s="46" t="s">
        <v>185</v>
      </c>
      <c r="J29" s="46" t="s">
        <v>185</v>
      </c>
      <c r="K29" s="46" t="s">
        <v>185</v>
      </c>
      <c r="L29" s="685">
        <v>10</v>
      </c>
      <c r="M29" s="685">
        <v>13.6</v>
      </c>
      <c r="N29" s="794">
        <v>17.989999999999998</v>
      </c>
      <c r="P29" s="56" t="str">
        <f>IF(Contents!$B$2=2,"Yes","Да")</f>
        <v>Yes</v>
      </c>
      <c r="Q29" s="511"/>
      <c r="R29" s="56"/>
      <c r="S29" s="56"/>
      <c r="T29" s="56"/>
      <c r="U29" s="60"/>
      <c r="V29" s="56"/>
      <c r="W29" s="56">
        <v>2</v>
      </c>
      <c r="X29" s="56"/>
    </row>
    <row r="30" spans="1:24">
      <c r="A30" s="692"/>
      <c r="B30" s="232" t="str">
        <f>IF(Contents!$B$2=2, "Provision of primary means of subsistence", "Предоставление первичных средств существования")</f>
        <v>Provision of primary means of subsistence</v>
      </c>
      <c r="C30" s="447" t="str">
        <f>IF(Contents!$B$2=2,"RR mln","млн руб.")</f>
        <v>RR mln</v>
      </c>
      <c r="D30" s="46" t="s">
        <v>185</v>
      </c>
      <c r="E30" s="46" t="s">
        <v>185</v>
      </c>
      <c r="F30" s="46" t="s">
        <v>185</v>
      </c>
      <c r="G30" s="46" t="s">
        <v>185</v>
      </c>
      <c r="H30" s="46" t="s">
        <v>185</v>
      </c>
      <c r="I30" s="46" t="s">
        <v>185</v>
      </c>
      <c r="J30" s="46" t="s">
        <v>185</v>
      </c>
      <c r="K30" s="46" t="s">
        <v>185</v>
      </c>
      <c r="L30" s="685">
        <v>10.1</v>
      </c>
      <c r="M30" s="685">
        <v>12.8</v>
      </c>
      <c r="N30" s="794">
        <v>7.9</v>
      </c>
      <c r="P30" s="56" t="str">
        <f>IF(Contents!$B$2=2,"Yes","Да")</f>
        <v>Yes</v>
      </c>
      <c r="Q30" s="511"/>
      <c r="R30" s="56"/>
      <c r="S30" s="56"/>
      <c r="T30" s="56"/>
      <c r="U30" s="60"/>
      <c r="V30" s="56"/>
      <c r="W30" s="56">
        <v>2</v>
      </c>
      <c r="X30" s="56"/>
    </row>
    <row r="31" spans="1:24">
      <c r="B31" s="232" t="str">
        <f>IF(Contents!$B$2=2, "Provision of transport for indigenous peoples of the Far North", "Обеспечение перевозок КМНС")</f>
        <v>Provision of transport for indigenous peoples of the Far North</v>
      </c>
      <c r="C31" s="447" t="str">
        <f>IF(Contents!$B$2=2,"RR mln","млн руб.")</f>
        <v>RR mln</v>
      </c>
      <c r="D31" s="46" t="s">
        <v>185</v>
      </c>
      <c r="E31" s="46" t="s">
        <v>185</v>
      </c>
      <c r="F31" s="46" t="s">
        <v>185</v>
      </c>
      <c r="G31" s="46" t="s">
        <v>185</v>
      </c>
      <c r="H31" s="46" t="s">
        <v>185</v>
      </c>
      <c r="I31" s="46" t="s">
        <v>185</v>
      </c>
      <c r="J31" s="46" t="s">
        <v>185</v>
      </c>
      <c r="K31" s="46" t="s">
        <v>185</v>
      </c>
      <c r="L31" s="685">
        <v>10.5</v>
      </c>
      <c r="M31" s="685">
        <v>5.8</v>
      </c>
      <c r="N31" s="794">
        <v>8.1</v>
      </c>
      <c r="P31" s="56" t="str">
        <f>IF(Contents!$B$2=2,"Yes","Да")</f>
        <v>Yes</v>
      </c>
      <c r="Q31" s="511"/>
      <c r="R31" s="56"/>
      <c r="S31" s="56"/>
      <c r="T31" s="56"/>
      <c r="U31" s="60"/>
      <c r="V31" s="56"/>
      <c r="W31" s="56">
        <v>2</v>
      </c>
      <c r="X31" s="56"/>
    </row>
    <row r="32" spans="1:24">
      <c r="B32" s="232" t="str">
        <f>IF(Contents!$B$2=2, "Investments in the regional infrastructure", "Инвестиции в инфраструктуру региона")</f>
        <v>Investments in the regional infrastructure</v>
      </c>
      <c r="C32" s="447" t="str">
        <f>IF(Contents!$B$2=2,"RR mln","млн руб.")</f>
        <v>RR mln</v>
      </c>
      <c r="D32" s="46" t="s">
        <v>185</v>
      </c>
      <c r="E32" s="46" t="s">
        <v>185</v>
      </c>
      <c r="F32" s="46" t="s">
        <v>185</v>
      </c>
      <c r="G32" s="46" t="s">
        <v>185</v>
      </c>
      <c r="H32" s="46" t="s">
        <v>185</v>
      </c>
      <c r="I32" s="46" t="s">
        <v>185</v>
      </c>
      <c r="J32" s="46" t="s">
        <v>185</v>
      </c>
      <c r="K32" s="46" t="s">
        <v>185</v>
      </c>
      <c r="L32" s="685">
        <v>106.9</v>
      </c>
      <c r="M32" s="685">
        <v>15.1</v>
      </c>
      <c r="N32" s="794">
        <v>35.049999999999997</v>
      </c>
      <c r="P32" s="56" t="str">
        <f>IF(Contents!$B$2=2,"Yes","Да")</f>
        <v>Yes</v>
      </c>
      <c r="Q32" s="511"/>
      <c r="R32" s="56"/>
      <c r="S32" s="56"/>
      <c r="T32" s="56"/>
      <c r="U32" s="60"/>
      <c r="V32" s="56"/>
      <c r="W32" s="56">
        <v>2</v>
      </c>
      <c r="X32" s="56"/>
    </row>
    <row r="33" spans="2:25">
      <c r="B33" s="232" t="str">
        <f>IF(Contents!$B$2=2, "Other", "Прочее")</f>
        <v>Other</v>
      </c>
      <c r="C33" s="447" t="str">
        <f>IF(Contents!$B$2=2,"RR mln","млн руб.")</f>
        <v>RR mln</v>
      </c>
      <c r="D33" s="46" t="s">
        <v>185</v>
      </c>
      <c r="E33" s="46" t="s">
        <v>185</v>
      </c>
      <c r="F33" s="46" t="s">
        <v>185</v>
      </c>
      <c r="G33" s="46" t="s">
        <v>185</v>
      </c>
      <c r="H33" s="46" t="s">
        <v>185</v>
      </c>
      <c r="I33" s="46" t="s">
        <v>185</v>
      </c>
      <c r="J33" s="46" t="s">
        <v>185</v>
      </c>
      <c r="K33" s="46" t="s">
        <v>185</v>
      </c>
      <c r="L33" s="685">
        <v>4.5</v>
      </c>
      <c r="M33" s="685">
        <v>5.2</v>
      </c>
      <c r="N33" s="794">
        <v>0.35099999999999998</v>
      </c>
      <c r="P33" s="56" t="str">
        <f>IF(Contents!$B$2=2,"Yes","Да")</f>
        <v>Yes</v>
      </c>
      <c r="Q33" s="511"/>
      <c r="R33" s="56"/>
      <c r="S33" s="56"/>
      <c r="T33" s="56"/>
      <c r="U33" s="60"/>
      <c r="V33" s="56"/>
      <c r="W33" s="56">
        <v>2</v>
      </c>
      <c r="X33" s="56"/>
    </row>
    <row r="34" spans="2:25">
      <c r="B34" s="232"/>
      <c r="C34" s="447"/>
      <c r="D34" s="46"/>
      <c r="E34" s="46"/>
      <c r="F34" s="46"/>
      <c r="G34" s="46"/>
      <c r="H34" s="46"/>
      <c r="I34" s="46"/>
      <c r="J34" s="46"/>
      <c r="K34" s="46"/>
      <c r="L34" s="685"/>
      <c r="M34" s="685"/>
      <c r="N34" s="685"/>
      <c r="O34" s="685"/>
      <c r="P34" s="56"/>
      <c r="Q34" s="511"/>
      <c r="R34" s="56"/>
      <c r="S34" s="56"/>
      <c r="T34" s="56"/>
      <c r="U34" s="60"/>
      <c r="V34" s="56"/>
      <c r="W34" s="56"/>
      <c r="X34" s="56"/>
    </row>
    <row r="35" spans="2:25" ht="25.5">
      <c r="B35" s="684" t="str">
        <f>IF(Contents!$B$2=2, "Number of violations of indigenous peoples' rights", "Количество нарушений прав коренных народов")</f>
        <v>Number of violations of indigenous peoples' rights</v>
      </c>
      <c r="C35" s="444" t="str">
        <f>IF(Contents!$B$2=2,"unit","ед.")</f>
        <v>unit</v>
      </c>
      <c r="D35" s="372" t="s">
        <v>185</v>
      </c>
      <c r="E35" s="372" t="s">
        <v>185</v>
      </c>
      <c r="F35" s="372" t="s">
        <v>185</v>
      </c>
      <c r="G35" s="372" t="s">
        <v>185</v>
      </c>
      <c r="H35" s="372" t="s">
        <v>185</v>
      </c>
      <c r="I35" s="372" t="s">
        <v>185</v>
      </c>
      <c r="J35" s="296">
        <v>0</v>
      </c>
      <c r="K35" s="296">
        <v>0</v>
      </c>
      <c r="L35" s="296">
        <v>0</v>
      </c>
      <c r="M35" s="296">
        <v>0</v>
      </c>
      <c r="N35" s="296">
        <v>0</v>
      </c>
      <c r="P35" s="56" t="str">
        <f>IF(Contents!$B$2=2,"Yes","Да")</f>
        <v>Yes</v>
      </c>
      <c r="Q35" s="511"/>
      <c r="R35" s="297" t="s">
        <v>160</v>
      </c>
      <c r="S35" s="56"/>
      <c r="T35" s="56" t="s">
        <v>161</v>
      </c>
      <c r="U35" s="273" t="str">
        <f>IF(Contents!$B$2=2,"PBCS 3.7","СОКБ 3.7")</f>
        <v>PBCS 3.7</v>
      </c>
      <c r="V35" s="56"/>
      <c r="W35" s="56">
        <v>1</v>
      </c>
      <c r="X35" s="56"/>
    </row>
    <row r="36" spans="2:25" ht="43.5" customHeight="1">
      <c r="B36" s="683" t="str">
        <f>IF(Contents!$B$2=2, "Hotline inquiries from the indigenous peoples of the Far North", "Обращения КМНС на горячую линию")</f>
        <v>Hotline inquiries from the indigenous peoples of the Far North</v>
      </c>
      <c r="C36" s="447" t="str">
        <f>IF(Contents!$B$2=2,"unit","ед.")</f>
        <v>unit</v>
      </c>
      <c r="D36" s="46" t="s">
        <v>185</v>
      </c>
      <c r="E36" s="46" t="s">
        <v>185</v>
      </c>
      <c r="F36" s="46" t="s">
        <v>185</v>
      </c>
      <c r="G36" s="46" t="s">
        <v>185</v>
      </c>
      <c r="H36" s="46" t="s">
        <v>185</v>
      </c>
      <c r="I36" s="46" t="s">
        <v>185</v>
      </c>
      <c r="J36" s="58">
        <v>45</v>
      </c>
      <c r="K36" s="58">
        <v>65</v>
      </c>
      <c r="L36" s="58">
        <v>138</v>
      </c>
      <c r="M36" s="58">
        <v>150</v>
      </c>
      <c r="N36" s="98">
        <v>167</v>
      </c>
      <c r="O36" s="869"/>
      <c r="P36" s="56" t="str">
        <f>IF(Contents!$B$2=2,"Yes","Да")</f>
        <v>Yes</v>
      </c>
      <c r="Q36" s="511"/>
      <c r="R36" s="56" t="s">
        <v>162</v>
      </c>
      <c r="S36" s="56"/>
      <c r="T36" s="56" t="s">
        <v>161</v>
      </c>
      <c r="U36" s="60"/>
      <c r="V36" s="56"/>
      <c r="W36" s="56">
        <v>1</v>
      </c>
      <c r="X36" s="56"/>
    </row>
    <row r="37" spans="2:25" ht="36">
      <c r="B37" s="683" t="str">
        <f>IF(Contents!$B$2=2, "Number of recorded socially significant incidents (strikes and cases of violation of local community rights by the organization that triggered public actions)", "Количество зафиксированных социально значимых инцидентов (забастовки и случаи нарушения со стороны организации прав местных сообществ, приведшие к публичным мероприятиям)")</f>
        <v>Number of recorded socially significant incidents (strikes and cases of violation of local community rights by the organization that triggered public actions)</v>
      </c>
      <c r="C37" s="434" t="str">
        <f>IF(Contents!$B$2=2,"unit","ед.")</f>
        <v>unit</v>
      </c>
      <c r="D37" s="46">
        <v>0</v>
      </c>
      <c r="E37" s="46">
        <v>0</v>
      </c>
      <c r="F37" s="46">
        <v>0</v>
      </c>
      <c r="G37" s="46">
        <v>0</v>
      </c>
      <c r="H37" s="46">
        <v>0</v>
      </c>
      <c r="I37" s="46">
        <v>0</v>
      </c>
      <c r="J37" s="46">
        <v>0</v>
      </c>
      <c r="K37" s="46">
        <v>0</v>
      </c>
      <c r="L37" s="46">
        <v>0</v>
      </c>
      <c r="M37" s="46">
        <v>0</v>
      </c>
      <c r="N37" s="104">
        <v>0</v>
      </c>
      <c r="O37" s="58"/>
      <c r="P37" s="56"/>
      <c r="Q37" s="511"/>
      <c r="R37" s="56"/>
      <c r="S37" s="56"/>
      <c r="T37" s="56"/>
      <c r="U37" s="273" t="str">
        <f>IF(Contents!$B$2=2,"PBCS 3.14","СОКБ 3.14")</f>
        <v>PBCS 3.14</v>
      </c>
      <c r="V37" s="56"/>
      <c r="W37" s="56">
        <v>1</v>
      </c>
      <c r="X37" s="56"/>
    </row>
    <row r="38" spans="2:25">
      <c r="B38" s="683"/>
      <c r="C38" s="434"/>
      <c r="D38" s="46"/>
      <c r="E38" s="46"/>
      <c r="F38" s="46"/>
      <c r="G38" s="46"/>
      <c r="H38" s="46"/>
      <c r="I38" s="46"/>
      <c r="J38" s="46"/>
      <c r="K38" s="46"/>
      <c r="L38" s="46"/>
      <c r="P38" s="56"/>
      <c r="Q38" s="58"/>
      <c r="R38" s="56"/>
      <c r="S38" s="56"/>
      <c r="T38" s="56"/>
      <c r="U38" s="273"/>
      <c r="V38" s="56"/>
      <c r="W38" s="56"/>
      <c r="X38" s="56"/>
    </row>
    <row r="39" spans="2:25">
      <c r="B39" s="352"/>
      <c r="C39" s="352"/>
      <c r="D39" s="352"/>
      <c r="E39" s="352"/>
      <c r="F39" s="352"/>
      <c r="G39" s="352"/>
      <c r="H39" s="352"/>
      <c r="I39" s="352"/>
      <c r="J39" s="352"/>
      <c r="K39" s="352"/>
      <c r="L39" s="352"/>
      <c r="M39" s="46"/>
      <c r="N39" s="46"/>
      <c r="O39" s="46"/>
      <c r="P39" s="627"/>
      <c r="Q39" s="352"/>
      <c r="R39" s="627"/>
      <c r="S39" s="627"/>
      <c r="T39" s="627"/>
      <c r="U39" s="627"/>
      <c r="V39" s="627"/>
      <c r="W39" s="627"/>
      <c r="X39" s="627"/>
      <c r="Y39" s="627"/>
    </row>
    <row r="40" spans="2:25">
      <c r="P40" s="598"/>
      <c r="V40" s="56"/>
      <c r="W40" s="56"/>
      <c r="X40" s="56"/>
    </row>
    <row r="41" spans="2:25">
      <c r="B41" s="141" t="str">
        <f>IF(Contents!$B$2=2,"For more information, see the Sustainable Development Reports for 2020-2025 (the Local communities chapter).","Для получения дополнительной информации см. Отчеты об устойчивом развитии за 2020-2025 гг. (глава «Местные сообщества»).")</f>
        <v>For more information, see the Sustainable Development Reports for 2020-2025 (the Local communities chapter).</v>
      </c>
      <c r="P41" s="598"/>
      <c r="V41" s="56"/>
      <c r="W41" s="56"/>
      <c r="X41" s="56"/>
    </row>
    <row r="42" spans="2:25">
      <c r="B42" s="682"/>
      <c r="P42" s="598"/>
      <c r="V42" s="56"/>
      <c r="W42" s="56"/>
      <c r="X42" s="56"/>
    </row>
    <row r="43" spans="2:25">
      <c r="P43" s="598"/>
      <c r="V43" s="56"/>
      <c r="W43" s="56"/>
      <c r="X43" s="56"/>
    </row>
    <row r="44" spans="2:25">
      <c r="P44" s="598"/>
      <c r="V44" s="56"/>
      <c r="W44" s="56"/>
      <c r="X44" s="56"/>
    </row>
    <row r="45" spans="2:25">
      <c r="P45" s="598"/>
      <c r="V45" s="56"/>
      <c r="W45" s="56"/>
      <c r="X45" s="56"/>
    </row>
    <row r="46" spans="2:25">
      <c r="P46" s="598"/>
      <c r="V46" s="56"/>
      <c r="W46" s="56"/>
      <c r="X46" s="56"/>
    </row>
    <row r="47" spans="2:25">
      <c r="V47" s="56"/>
      <c r="W47" s="56"/>
      <c r="X47" s="56"/>
    </row>
    <row r="48" spans="2:25">
      <c r="V48" s="56"/>
      <c r="W48" s="56"/>
      <c r="X48" s="56"/>
    </row>
    <row r="49" spans="22:24">
      <c r="V49" s="56"/>
      <c r="W49" s="56"/>
      <c r="X49" s="56"/>
    </row>
    <row r="50" spans="22:24">
      <c r="V50" s="56"/>
      <c r="W50" s="56"/>
      <c r="X50" s="56"/>
    </row>
    <row r="51" spans="22:24">
      <c r="V51" s="56"/>
      <c r="W51" s="56"/>
      <c r="X51" s="56"/>
    </row>
    <row r="52" spans="22:24">
      <c r="V52" s="56"/>
      <c r="W52" s="56"/>
      <c r="X52" s="56"/>
    </row>
    <row r="53" spans="22:24">
      <c r="V53" s="56"/>
      <c r="W53" s="56"/>
      <c r="X53" s="56"/>
    </row>
    <row r="54" spans="22:24">
      <c r="V54" s="56"/>
      <c r="W54" s="56"/>
      <c r="X54" s="56"/>
    </row>
    <row r="55" spans="22:24">
      <c r="V55" s="56"/>
      <c r="W55" s="56"/>
      <c r="X55" s="56"/>
    </row>
    <row r="56" spans="22:24">
      <c r="V56" s="56"/>
      <c r="W56" s="56"/>
      <c r="X56" s="56"/>
    </row>
    <row r="57" spans="22:24">
      <c r="V57" s="56"/>
      <c r="W57" s="56"/>
      <c r="X57" s="56"/>
    </row>
    <row r="58" spans="22:24">
      <c r="V58" s="56"/>
      <c r="W58" s="56"/>
      <c r="X58" s="56"/>
    </row>
    <row r="59" spans="22:24">
      <c r="V59" s="56"/>
      <c r="W59" s="56"/>
      <c r="X59" s="56"/>
    </row>
    <row r="60" spans="22:24">
      <c r="V60" s="56"/>
      <c r="W60" s="56"/>
      <c r="X60" s="56"/>
    </row>
    <row r="61" spans="22:24">
      <c r="V61" s="56"/>
      <c r="W61" s="56"/>
      <c r="X61" s="56"/>
    </row>
    <row r="62" spans="22:24">
      <c r="V62" s="56"/>
      <c r="W62" s="56"/>
      <c r="X62" s="56"/>
    </row>
    <row r="63" spans="22:24">
      <c r="V63" s="56"/>
      <c r="W63" s="56"/>
      <c r="X63" s="56"/>
    </row>
    <row r="64" spans="22:24">
      <c r="V64" s="56"/>
      <c r="W64" s="56"/>
      <c r="X64" s="56"/>
    </row>
    <row r="65" spans="22:24">
      <c r="V65" s="56"/>
      <c r="W65" s="56"/>
      <c r="X65" s="56"/>
    </row>
    <row r="66" spans="22:24">
      <c r="V66" s="56"/>
      <c r="W66" s="56"/>
      <c r="X66" s="56"/>
    </row>
    <row r="67" spans="22:24">
      <c r="V67" s="56"/>
      <c r="W67" s="56"/>
      <c r="X67" s="56"/>
    </row>
    <row r="68" spans="22:24">
      <c r="V68" s="56"/>
      <c r="W68" s="56"/>
      <c r="X68" s="56"/>
    </row>
    <row r="69" spans="22:24">
      <c r="V69" s="56"/>
      <c r="W69" s="56"/>
      <c r="X69" s="56"/>
    </row>
    <row r="70" spans="22:24">
      <c r="W70" s="56"/>
    </row>
    <row r="71" spans="22:24">
      <c r="W71" s="56"/>
    </row>
  </sheetData>
  <hyperlinks>
    <hyperlink ref="B3" location="'Local communities'!B8" display="'Local communities'!B8"/>
    <hyperlink ref="C3" location="'Local communities'!B17" display="'Local communities'!B17"/>
    <hyperlink ref="B41" r:id="rId1" display="https://www.novatek.ru/en/development/archive/"/>
    <hyperlink ref="E3" location="'Local communities'!B25" display="'Local communities'!B25"/>
    <hyperlink ref="B1" location="Contents!A1" display="← Back to Contents"/>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A90"/>
  <sheetViews>
    <sheetView zoomScale="50" zoomScaleNormal="50" workbookViewId="0">
      <pane xSplit="1" ySplit="7" topLeftCell="B8" activePane="bottomRight" state="frozen"/>
      <selection pane="topRight" activeCell="B1" sqref="B1"/>
      <selection pane="bottomLeft" activeCell="A8" sqref="A8"/>
      <selection pane="bottomRight" activeCell="N1" sqref="N1"/>
    </sheetView>
  </sheetViews>
  <sheetFormatPr defaultColWidth="91" defaultRowHeight="18.75"/>
  <cols>
    <col min="1" max="1" width="10.4257812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6.85546875" style="253" customWidth="1"/>
    <col min="16" max="16" width="15.42578125" style="606" customWidth="1"/>
    <col min="17" max="17" width="12.42578125" style="253" customWidth="1"/>
    <col min="18" max="18" width="20.42578125" style="617" customWidth="1"/>
    <col min="19" max="20" width="20.42578125" style="606" customWidth="1"/>
    <col min="21" max="21" width="20.42578125" style="607" customWidth="1"/>
    <col min="22" max="22" width="5.42578125" style="606" customWidth="1"/>
    <col min="23" max="23" width="15.42578125" style="606" customWidth="1"/>
    <col min="24" max="25" width="5.42578125" style="606" customWidth="1"/>
    <col min="26" max="248" width="8.85546875" style="43" customWidth="1"/>
    <col min="249" max="249" width="13.42578125" style="43" customWidth="1"/>
    <col min="250" max="16384" width="91" style="43"/>
  </cols>
  <sheetData>
    <row r="1" spans="1:25" ht="80.099999999999994" customHeight="1">
      <c r="B1" s="487" t="s">
        <v>168</v>
      </c>
      <c r="G1" s="254"/>
    </row>
    <row r="2" spans="1:25">
      <c r="B2" s="151" t="str">
        <f>IF(Contents!$B$2=2,"CONTENTS","СОДЕРЖАНИЕ")</f>
        <v>CONTENTS</v>
      </c>
      <c r="C2" s="257"/>
      <c r="D2" s="257"/>
      <c r="E2" s="257"/>
      <c r="F2" s="258"/>
      <c r="G2" s="258"/>
      <c r="H2" s="258"/>
      <c r="I2" s="257"/>
      <c r="J2" s="257"/>
      <c r="K2" s="257"/>
      <c r="L2" s="257"/>
      <c r="M2" s="257"/>
      <c r="N2" s="257"/>
      <c r="O2" s="746"/>
      <c r="Q2" s="746"/>
      <c r="R2" s="747"/>
      <c r="S2" s="747"/>
      <c r="T2" s="747"/>
      <c r="U2" s="747"/>
    </row>
    <row r="3" spans="1:25">
      <c r="B3" s="568" t="str">
        <f>IF(Contents!$B$2=2,"Board of Directors","Совет директоров")</f>
        <v>Board of Directors</v>
      </c>
      <c r="C3" s="568" t="str">
        <f>IF(Contents!$B$2=2,"Management Board","Правление")</f>
        <v>Management Board</v>
      </c>
      <c r="D3" s="568"/>
      <c r="E3" s="568" t="str">
        <f>IF(Contents!$B$2=2,"Security hotline","Горячая линия безопасности")</f>
        <v>Security hotline</v>
      </c>
      <c r="F3" s="568"/>
      <c r="G3" s="568"/>
      <c r="H3" s="568" t="str">
        <f>IF(Contents!$B$2=2,"Innovation","Инновации")</f>
        <v>Innovation</v>
      </c>
      <c r="J3" s="568"/>
      <c r="K3" s="255"/>
      <c r="L3" s="492"/>
      <c r="M3" s="536"/>
      <c r="N3" s="536"/>
      <c r="O3" s="746"/>
      <c r="Q3" s="746"/>
      <c r="R3" s="745"/>
      <c r="S3" s="56"/>
      <c r="T3" s="56"/>
      <c r="U3" s="60"/>
    </row>
    <row r="4" spans="1:25">
      <c r="B4" s="568" t="str">
        <f>IF(Contents!$B$2=2,"Board of Directors Committees","Комитеты совета директоров")</f>
        <v>Board of Directors Committees</v>
      </c>
      <c r="C4" s="568"/>
      <c r="D4" s="568"/>
      <c r="E4" s="568" t="str">
        <f>IF(Contents!$B$2=2,"Responsible supply chain","Ответственная цепочка поставок")</f>
        <v>Responsible supply chain</v>
      </c>
      <c r="F4" s="568"/>
      <c r="G4" s="568"/>
      <c r="H4" s="568"/>
      <c r="J4" s="568"/>
      <c r="K4" s="492"/>
      <c r="L4" s="492"/>
      <c r="M4" s="707"/>
      <c r="N4" s="707"/>
      <c r="R4" s="742"/>
      <c r="S4" s="56"/>
      <c r="T4" s="56"/>
      <c r="U4" s="60"/>
    </row>
    <row r="5" spans="1:25">
      <c r="B5" s="251"/>
      <c r="C5" s="744"/>
      <c r="D5" s="568"/>
      <c r="E5" s="568"/>
      <c r="F5" s="568"/>
      <c r="G5" s="568"/>
      <c r="H5" s="568"/>
      <c r="J5" s="743"/>
      <c r="M5" s="43"/>
      <c r="N5" s="43"/>
      <c r="O5" s="43"/>
      <c r="Q5" s="43"/>
      <c r="R5" s="742"/>
      <c r="S5" s="56"/>
      <c r="T5" s="56"/>
      <c r="U5" s="60"/>
    </row>
    <row r="6" spans="1:25" ht="30">
      <c r="A6" s="699"/>
      <c r="B6" s="481" t="str">
        <f>IF(Contents!$B$2=2,"Corporate governance","Корпоративное управление")</f>
        <v>Corporate governance</v>
      </c>
      <c r="C6" s="741"/>
      <c r="D6" s="740"/>
      <c r="E6" s="739"/>
      <c r="F6" s="738"/>
      <c r="G6" s="738"/>
      <c r="H6" s="738"/>
      <c r="I6" s="737"/>
      <c r="J6" s="736"/>
      <c r="K6" s="736"/>
      <c r="L6" s="736"/>
      <c r="M6" s="736"/>
      <c r="N6" s="736"/>
      <c r="P6" s="735"/>
      <c r="R6" s="735"/>
      <c r="S6" s="735"/>
      <c r="T6" s="735"/>
      <c r="U6" s="735"/>
      <c r="V6" s="56"/>
      <c r="W6" s="735"/>
      <c r="X6" s="56"/>
    </row>
    <row r="7" spans="1:25" ht="54.95" customHeight="1">
      <c r="A7" s="699"/>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Subject to external assurance in 2025</v>
      </c>
      <c r="Q7" s="930"/>
      <c r="R7" s="602" t="str">
        <f>IF(Contents!$B$2=2,"GRI 2021 Disclosure, including GRI 11: Oil and Gas Sector 2021","Индексы Стандартов GRI 2021, в т.ч. GRI 11: Oil and Gas Sector")</f>
        <v>GRI 2021 Disclosure, including GRI 11: Oil and Gas Sector 2021</v>
      </c>
      <c r="S7" s="602" t="str">
        <f>IF(Contents!$B$2=2,"Standards' Code SASB Oil &amp; Gas – Exploration &amp; Production 2023","Индексы Стандартов SASB Oil &amp; Gas – Exploration &amp; Production 2023")</f>
        <v>Standards' Code SASB Oil &amp; Gas – Exploration &amp; Production 2023</v>
      </c>
      <c r="T7" s="602" t="str">
        <f>IF(Contents!$B$2=2,"Standards' indices IPIECA 2020","Индексы Стандартов IPIECA 2020")</f>
        <v>Standards' indices IPIECA 2020</v>
      </c>
      <c r="U7" s="602" t="str">
        <f>IF(Contents!$B$2=2,"Indices of the Public Business Capital Standard","Индексы Стандарта общественного капитала бизнеса")</f>
        <v>Indices of the Public Business Capital Standard</v>
      </c>
      <c r="V7" s="504"/>
      <c r="W7" s="586" t="str">
        <f>IF(Contents!$B$2=2,"Report scope","Границы отчетности")</f>
        <v>Report scope</v>
      </c>
      <c r="X7" s="504"/>
      <c r="Y7" s="504"/>
    </row>
    <row r="8" spans="1:25" ht="20.100000000000001" customHeight="1">
      <c r="A8" s="699"/>
      <c r="B8" s="45" t="str">
        <f>IF(Contents!$B$2=2,"Board of Directors","Совет директоров")</f>
        <v>Board of Directors</v>
      </c>
      <c r="C8" s="45"/>
      <c r="D8" s="45"/>
      <c r="E8" s="45"/>
      <c r="F8" s="45"/>
      <c r="G8" s="45"/>
      <c r="H8" s="45"/>
      <c r="I8" s="45"/>
      <c r="J8" s="45"/>
      <c r="K8" s="45"/>
      <c r="L8" s="45"/>
      <c r="M8" s="45"/>
      <c r="N8" s="45"/>
      <c r="P8" s="56"/>
      <c r="R8" s="734"/>
      <c r="S8" s="618"/>
      <c r="T8" s="618"/>
      <c r="U8" s="618"/>
      <c r="V8" s="56"/>
      <c r="W8" s="56"/>
      <c r="X8" s="56"/>
      <c r="Y8" s="56"/>
    </row>
    <row r="9" spans="1:25" ht="25.5">
      <c r="B9" s="443" t="str">
        <f>IF(Contents!$B$2=2,"Composition","Состав")</f>
        <v>Composition</v>
      </c>
      <c r="C9" s="444"/>
      <c r="D9" s="296"/>
      <c r="E9" s="296"/>
      <c r="F9" s="296"/>
      <c r="G9" s="296"/>
      <c r="H9" s="296"/>
      <c r="I9" s="296"/>
      <c r="J9" s="296"/>
      <c r="K9" s="296"/>
      <c r="L9" s="296"/>
      <c r="M9" s="296"/>
      <c r="N9" s="296"/>
      <c r="P9" s="56"/>
      <c r="R9" s="465" t="s">
        <v>169</v>
      </c>
      <c r="S9" s="614"/>
      <c r="T9" s="71" t="s">
        <v>163</v>
      </c>
      <c r="U9" s="614"/>
      <c r="V9" s="56"/>
      <c r="W9" s="56"/>
      <c r="X9" s="56"/>
      <c r="Y9" s="56"/>
    </row>
    <row r="10" spans="1:25" ht="18">
      <c r="B10" s="409" t="str">
        <f>IF(Contents!$B$2=2,"Board of Directors members","Члены Совета директоров")</f>
        <v>Board of Directors members</v>
      </c>
      <c r="C10" s="103" t="str">
        <f>IF(Contents!$B$2=2,"people"," человек")</f>
        <v>people</v>
      </c>
      <c r="D10" s="466">
        <v>9</v>
      </c>
      <c r="E10" s="466">
        <v>9</v>
      </c>
      <c r="F10" s="466">
        <v>9</v>
      </c>
      <c r="G10" s="466">
        <v>9</v>
      </c>
      <c r="H10" s="466">
        <v>9</v>
      </c>
      <c r="I10" s="466">
        <v>9</v>
      </c>
      <c r="J10" s="466">
        <v>9</v>
      </c>
      <c r="K10" s="466">
        <v>9</v>
      </c>
      <c r="L10" s="466">
        <v>9</v>
      </c>
      <c r="M10" s="466">
        <v>9</v>
      </c>
      <c r="N10" s="924">
        <v>9</v>
      </c>
      <c r="P10" s="56" t="str">
        <f>IF(Contents!$B$2=2,"Yes","Да")</f>
        <v>Yes</v>
      </c>
      <c r="R10" s="297"/>
      <c r="S10" s="56"/>
      <c r="T10" s="56"/>
      <c r="U10" s="297"/>
      <c r="V10" s="56"/>
      <c r="W10" s="56">
        <v>1</v>
      </c>
      <c r="X10" s="56"/>
      <c r="Y10" s="56"/>
    </row>
    <row r="11" spans="1:25" ht="18">
      <c r="B11" s="23" t="str">
        <f>IF(Contents!$B$2=2,"by gender","по полу")</f>
        <v>by gender</v>
      </c>
      <c r="C11" s="77"/>
      <c r="D11" s="446"/>
      <c r="E11" s="446"/>
      <c r="F11" s="446"/>
      <c r="G11" s="446"/>
      <c r="H11" s="446"/>
      <c r="I11" s="722"/>
      <c r="J11" s="721"/>
      <c r="K11" s="721"/>
      <c r="L11" s="721"/>
      <c r="M11" s="721"/>
      <c r="N11" s="721"/>
      <c r="P11" s="56"/>
      <c r="R11" s="297"/>
      <c r="S11" s="56"/>
      <c r="T11" s="56"/>
      <c r="U11" s="60"/>
      <c r="V11" s="56"/>
      <c r="W11" s="56"/>
      <c r="X11" s="56"/>
      <c r="Y11" s="56"/>
    </row>
    <row r="12" spans="1:25" ht="18">
      <c r="B12" s="177" t="str">
        <f>IF(Contents!$B$2=2,"Male","Мужчины")</f>
        <v>Male</v>
      </c>
      <c r="C12" s="103" t="str">
        <f>IF(Contents!$B$2=2,"people"," человек")</f>
        <v>people</v>
      </c>
      <c r="D12" s="466">
        <v>9</v>
      </c>
      <c r="E12" s="466">
        <v>9</v>
      </c>
      <c r="F12" s="466">
        <v>9</v>
      </c>
      <c r="G12" s="466">
        <v>9</v>
      </c>
      <c r="H12" s="466">
        <v>9</v>
      </c>
      <c r="I12" s="101">
        <v>8</v>
      </c>
      <c r="J12" s="101">
        <v>8</v>
      </c>
      <c r="K12" s="101">
        <v>7</v>
      </c>
      <c r="L12" s="101">
        <v>8</v>
      </c>
      <c r="M12" s="101">
        <v>8</v>
      </c>
      <c r="N12" s="204">
        <v>8</v>
      </c>
      <c r="P12" s="56" t="str">
        <f>IF(Contents!$B$2=2,"Yes","Да")</f>
        <v>Yes</v>
      </c>
      <c r="R12" s="297"/>
      <c r="S12" s="56"/>
      <c r="T12" s="56"/>
      <c r="U12" s="299"/>
      <c r="V12" s="56"/>
      <c r="W12" s="56"/>
      <c r="X12" s="56"/>
      <c r="Y12" s="56"/>
    </row>
    <row r="13" spans="1:25" ht="18">
      <c r="B13" s="177" t="str">
        <f>IF(Contents!$B$2=2,"Female","Женщины")</f>
        <v>Female</v>
      </c>
      <c r="C13" s="103" t="str">
        <f>IF(Contents!$B$2=2,"people"," человек")</f>
        <v>people</v>
      </c>
      <c r="D13" s="466">
        <v>0</v>
      </c>
      <c r="E13" s="466">
        <v>0</v>
      </c>
      <c r="F13" s="466">
        <v>0</v>
      </c>
      <c r="G13" s="466">
        <v>0</v>
      </c>
      <c r="H13" s="466">
        <v>0</v>
      </c>
      <c r="I13" s="101">
        <v>1</v>
      </c>
      <c r="J13" s="101">
        <v>1</v>
      </c>
      <c r="K13" s="101">
        <v>2</v>
      </c>
      <c r="L13" s="101">
        <v>1</v>
      </c>
      <c r="M13" s="101">
        <v>1</v>
      </c>
      <c r="N13" s="204">
        <v>1</v>
      </c>
      <c r="O13" s="58"/>
      <c r="P13" s="56" t="str">
        <f>IF(Contents!$B$2=2,"Yes","Да")</f>
        <v>Yes</v>
      </c>
      <c r="R13" s="297"/>
      <c r="S13" s="56"/>
      <c r="T13" s="56"/>
      <c r="U13" s="299"/>
      <c r="V13" s="56"/>
      <c r="W13" s="56"/>
      <c r="X13" s="56"/>
      <c r="Y13" s="56"/>
    </row>
    <row r="14" spans="1:25">
      <c r="B14" s="723" t="str">
        <f>IF(Contents!$B$2=2,"Percentage of Female in the Board of Directors","Доля женщин в Совете директоров")</f>
        <v>Percentage of Female in the Board of Directors</v>
      </c>
      <c r="C14" s="103" t="s">
        <v>0</v>
      </c>
      <c r="D14" s="466">
        <v>0</v>
      </c>
      <c r="E14" s="466">
        <v>0</v>
      </c>
      <c r="F14" s="466">
        <v>0</v>
      </c>
      <c r="G14" s="466">
        <v>0</v>
      </c>
      <c r="H14" s="466">
        <v>0</v>
      </c>
      <c r="I14" s="466">
        <v>11</v>
      </c>
      <c r="J14" s="466">
        <v>11</v>
      </c>
      <c r="K14" s="466">
        <v>22</v>
      </c>
      <c r="L14" s="466">
        <v>11</v>
      </c>
      <c r="M14" s="466">
        <v>11</v>
      </c>
      <c r="N14" s="924">
        <v>11</v>
      </c>
      <c r="O14" s="58"/>
      <c r="P14" s="56" t="str">
        <f>IF(Contents!$B$2=2,"Yes","Да")</f>
        <v>Yes</v>
      </c>
      <c r="R14" s="297"/>
      <c r="S14" s="56"/>
      <c r="T14" s="56"/>
      <c r="U14" s="297" t="str">
        <f>IF(Contents!$B$2=2,"PBCS 49","СОКБ 49")</f>
        <v>PBCS 49</v>
      </c>
      <c r="V14" s="56"/>
      <c r="W14" s="56">
        <v>1</v>
      </c>
      <c r="X14" s="56"/>
      <c r="Y14" s="56"/>
    </row>
    <row r="15" spans="1:25" ht="18">
      <c r="B15" s="23" t="str">
        <f>IF(Contents!$B$2=2,"by age","по возрасту")</f>
        <v>by age</v>
      </c>
      <c r="C15" s="77"/>
      <c r="D15" s="446"/>
      <c r="E15" s="446"/>
      <c r="F15" s="446"/>
      <c r="G15" s="446"/>
      <c r="H15" s="446"/>
      <c r="I15" s="722"/>
      <c r="J15" s="721"/>
      <c r="K15" s="721"/>
      <c r="L15" s="721"/>
      <c r="M15" s="721"/>
      <c r="N15" s="721"/>
      <c r="O15" s="58"/>
      <c r="P15" s="56"/>
      <c r="R15" s="297"/>
      <c r="S15" s="56"/>
      <c r="T15" s="56"/>
      <c r="U15" s="297"/>
      <c r="V15" s="56"/>
      <c r="W15" s="56"/>
      <c r="X15" s="56"/>
      <c r="Y15" s="56"/>
    </row>
    <row r="16" spans="1:25" ht="18">
      <c r="B16" s="177" t="str">
        <f>IF(Contents!$B$2=2,"Under 30","Младше 30")</f>
        <v>Under 30</v>
      </c>
      <c r="C16" s="103" t="str">
        <f>IF(Contents!$B$2=2,"people"," человек")</f>
        <v>people</v>
      </c>
      <c r="D16" s="466" t="s">
        <v>185</v>
      </c>
      <c r="E16" s="466" t="s">
        <v>185</v>
      </c>
      <c r="F16" s="466" t="s">
        <v>185</v>
      </c>
      <c r="G16" s="466" t="s">
        <v>185</v>
      </c>
      <c r="H16" s="466" t="s">
        <v>185</v>
      </c>
      <c r="I16" s="466" t="s">
        <v>185</v>
      </c>
      <c r="J16" s="466" t="s">
        <v>185</v>
      </c>
      <c r="K16" s="466" t="s">
        <v>185</v>
      </c>
      <c r="L16" s="466">
        <v>0</v>
      </c>
      <c r="M16" s="466">
        <v>0</v>
      </c>
      <c r="N16" s="924">
        <v>0</v>
      </c>
      <c r="O16" s="58"/>
      <c r="P16" s="56"/>
      <c r="R16" s="297"/>
      <c r="S16" s="56"/>
      <c r="T16" s="56"/>
      <c r="U16" s="60"/>
      <c r="V16" s="56"/>
      <c r="W16" s="56"/>
      <c r="X16" s="56"/>
      <c r="Y16" s="56"/>
    </row>
    <row r="17" spans="1:25" ht="18">
      <c r="B17" s="177" t="str">
        <f>IF(Contents!$B$2=2,"30-50 years old","30-50")</f>
        <v>30-50 years old</v>
      </c>
      <c r="C17" s="103" t="str">
        <f>IF(Contents!$B$2=2,"people"," человек")</f>
        <v>people</v>
      </c>
      <c r="D17" s="466" t="s">
        <v>185</v>
      </c>
      <c r="E17" s="466" t="s">
        <v>185</v>
      </c>
      <c r="F17" s="466" t="s">
        <v>185</v>
      </c>
      <c r="G17" s="466" t="s">
        <v>185</v>
      </c>
      <c r="H17" s="466" t="s">
        <v>185</v>
      </c>
      <c r="I17" s="466" t="s">
        <v>185</v>
      </c>
      <c r="J17" s="466" t="s">
        <v>185</v>
      </c>
      <c r="K17" s="466" t="s">
        <v>185</v>
      </c>
      <c r="L17" s="466">
        <v>2</v>
      </c>
      <c r="M17" s="466">
        <v>2</v>
      </c>
      <c r="N17" s="924">
        <v>2</v>
      </c>
      <c r="O17" s="58"/>
      <c r="P17" s="56"/>
      <c r="R17" s="297"/>
      <c r="S17" s="56"/>
      <c r="T17" s="56"/>
      <c r="U17" s="60"/>
      <c r="V17" s="56"/>
      <c r="W17" s="56"/>
      <c r="X17" s="56"/>
      <c r="Y17" s="56"/>
    </row>
    <row r="18" spans="1:25" ht="18">
      <c r="B18" s="177" t="str">
        <f>IF(Contents!$B$2=2,"Over 50 years old","Старше 50")</f>
        <v>Over 50 years old</v>
      </c>
      <c r="C18" s="103" t="str">
        <f>IF(Contents!$B$2=2,"people"," человек")</f>
        <v>people</v>
      </c>
      <c r="D18" s="466" t="s">
        <v>185</v>
      </c>
      <c r="E18" s="466" t="s">
        <v>185</v>
      </c>
      <c r="F18" s="466" t="s">
        <v>185</v>
      </c>
      <c r="G18" s="466" t="s">
        <v>185</v>
      </c>
      <c r="H18" s="466" t="s">
        <v>185</v>
      </c>
      <c r="I18" s="466" t="s">
        <v>185</v>
      </c>
      <c r="J18" s="466" t="s">
        <v>185</v>
      </c>
      <c r="K18" s="466" t="s">
        <v>185</v>
      </c>
      <c r="L18" s="466">
        <v>7</v>
      </c>
      <c r="M18" s="466">
        <v>7</v>
      </c>
      <c r="N18" s="924">
        <v>7</v>
      </c>
      <c r="O18" s="58"/>
      <c r="P18" s="56"/>
      <c r="R18" s="297"/>
      <c r="S18" s="56"/>
      <c r="T18" s="56"/>
      <c r="U18" s="60"/>
      <c r="V18" s="56"/>
      <c r="W18" s="56"/>
      <c r="X18" s="56"/>
      <c r="Y18" s="56"/>
    </row>
    <row r="19" spans="1:25" ht="18">
      <c r="B19" s="23" t="str">
        <f>IF(Contents!$B$2=2,"Other indicators of diversity","по другим характеристикам")</f>
        <v>Other indicators of diversity</v>
      </c>
      <c r="C19" s="77"/>
      <c r="D19" s="446"/>
      <c r="E19" s="446"/>
      <c r="F19" s="446"/>
      <c r="G19" s="446"/>
      <c r="H19" s="446"/>
      <c r="I19" s="722"/>
      <c r="J19" s="721"/>
      <c r="K19" s="721"/>
      <c r="L19" s="721"/>
      <c r="M19" s="721"/>
      <c r="N19" s="721"/>
      <c r="O19" s="58"/>
      <c r="P19" s="56"/>
      <c r="R19" s="297"/>
      <c r="S19" s="56"/>
      <c r="T19" s="56"/>
      <c r="U19" s="60"/>
      <c r="V19" s="56"/>
      <c r="W19" s="56"/>
      <c r="X19" s="56"/>
      <c r="Y19" s="56"/>
    </row>
    <row r="20" spans="1:25">
      <c r="A20" s="692"/>
      <c r="B20" s="177" t="str">
        <f>IF(Contents!$B$2=2,"Independent directors at the Board of Directors","Независимые директора в Совете директоров")</f>
        <v>Independent directors at the Board of Directors</v>
      </c>
      <c r="C20" s="103" t="str">
        <f>IF(Contents!$B$2=2,"people"," человек")</f>
        <v>people</v>
      </c>
      <c r="D20" s="466">
        <v>3</v>
      </c>
      <c r="E20" s="466">
        <v>3</v>
      </c>
      <c r="F20" s="466">
        <v>3</v>
      </c>
      <c r="G20" s="466">
        <v>3</v>
      </c>
      <c r="H20" s="466">
        <v>3</v>
      </c>
      <c r="I20" s="101">
        <v>3</v>
      </c>
      <c r="J20" s="101">
        <v>3</v>
      </c>
      <c r="K20" s="101">
        <v>3</v>
      </c>
      <c r="L20" s="101">
        <v>5</v>
      </c>
      <c r="M20" s="101">
        <v>5</v>
      </c>
      <c r="N20" s="204">
        <v>5</v>
      </c>
      <c r="O20" s="59"/>
      <c r="P20" s="56" t="str">
        <f>IF(Contents!$B$2=2,"Yes","Да")</f>
        <v>Yes</v>
      </c>
      <c r="R20" s="297"/>
      <c r="S20" s="56"/>
      <c r="T20" s="60"/>
      <c r="V20" s="56"/>
      <c r="W20" s="56">
        <v>1</v>
      </c>
      <c r="X20" s="56"/>
      <c r="Y20" s="56"/>
    </row>
    <row r="21" spans="1:25">
      <c r="A21" s="692"/>
      <c r="B21" s="211" t="str">
        <f>IF(Contents!$B$2=2,"Percentage of Independent directors in the Board of Directors","Доля независимых членов в Совете директоров")</f>
        <v>Percentage of Independent directors in the Board of Directors</v>
      </c>
      <c r="C21" s="103" t="s">
        <v>0</v>
      </c>
      <c r="D21" s="466">
        <v>33</v>
      </c>
      <c r="E21" s="466">
        <v>33</v>
      </c>
      <c r="F21" s="466">
        <v>33</v>
      </c>
      <c r="G21" s="466">
        <v>33</v>
      </c>
      <c r="H21" s="466">
        <v>33</v>
      </c>
      <c r="I21" s="466">
        <v>33</v>
      </c>
      <c r="J21" s="466">
        <v>33</v>
      </c>
      <c r="K21" s="466">
        <v>33</v>
      </c>
      <c r="L21" s="466">
        <v>56</v>
      </c>
      <c r="M21" s="466">
        <v>56</v>
      </c>
      <c r="N21" s="924">
        <v>56</v>
      </c>
      <c r="O21" s="59"/>
      <c r="P21" s="56" t="str">
        <f>IF(Contents!$B$2=2,"Yes","Да")</f>
        <v>Yes</v>
      </c>
      <c r="R21" s="297"/>
      <c r="S21" s="56"/>
      <c r="T21" s="60"/>
      <c r="U21" s="297" t="str">
        <f>IF(Contents!$B$2=2,"PBCS 48","СОКБ 48")</f>
        <v>PBCS 48</v>
      </c>
      <c r="V21" s="56"/>
      <c r="W21" s="56">
        <v>1</v>
      </c>
      <c r="X21" s="56"/>
      <c r="Y21" s="56"/>
    </row>
    <row r="22" spans="1:25" ht="18">
      <c r="A22" s="692"/>
      <c r="B22" s="177"/>
      <c r="C22" s="103"/>
      <c r="D22" s="466"/>
      <c r="E22" s="466"/>
      <c r="F22" s="466"/>
      <c r="G22" s="466"/>
      <c r="H22" s="466"/>
      <c r="I22" s="101"/>
      <c r="J22" s="101"/>
      <c r="K22" s="101"/>
      <c r="L22" s="101"/>
      <c r="M22" s="825"/>
      <c r="N22" s="63"/>
      <c r="O22" s="59"/>
      <c r="P22" s="56"/>
      <c r="Q22" s="59"/>
      <c r="R22" s="297"/>
      <c r="S22" s="56"/>
      <c r="T22" s="60"/>
      <c r="U22" s="56"/>
      <c r="V22" s="56"/>
      <c r="W22" s="56"/>
      <c r="X22" s="56"/>
      <c r="Y22" s="56"/>
    </row>
    <row r="23" spans="1:25" ht="18">
      <c r="A23" s="692"/>
      <c r="B23" s="25" t="str">
        <f>IF(Contents!$B$2=2,"Notes:","Примечания:")</f>
        <v>Notes:</v>
      </c>
      <c r="C23" s="294"/>
      <c r="D23" s="294"/>
      <c r="E23" s="294"/>
      <c r="F23" s="294"/>
      <c r="G23" s="294"/>
      <c r="H23" s="294"/>
      <c r="I23" s="294"/>
      <c r="J23" s="294"/>
      <c r="K23" s="294"/>
      <c r="L23" s="294"/>
      <c r="M23" s="294"/>
      <c r="N23" s="294"/>
      <c r="O23" s="59"/>
      <c r="P23" s="56"/>
      <c r="Q23" s="59"/>
      <c r="R23" s="297"/>
      <c r="S23" s="56"/>
      <c r="T23" s="60"/>
      <c r="U23" s="56"/>
      <c r="V23" s="56"/>
      <c r="W23" s="56"/>
      <c r="X23" s="56"/>
      <c r="Y23" s="56"/>
    </row>
    <row r="24" spans="1:25" ht="18">
      <c r="A24" s="692"/>
      <c r="B24" s="944" t="str">
        <f>IF(Contents!$B$2=2,"The composition of the Board of Directors is given as of December 31, 2025.","Cостав Совета директоров приведен по состоянию на 31 декабря 2025.")</f>
        <v>The composition of the Board of Directors is given as of December 31, 2025.</v>
      </c>
      <c r="C24" s="944"/>
      <c r="D24" s="944"/>
      <c r="E24" s="944"/>
      <c r="F24" s="944"/>
      <c r="G24" s="944"/>
      <c r="H24" s="944"/>
      <c r="I24" s="944"/>
      <c r="J24" s="944"/>
      <c r="K24" s="944"/>
      <c r="L24" s="944"/>
      <c r="M24" s="944"/>
      <c r="N24" s="65"/>
      <c r="O24" s="59"/>
      <c r="P24" s="56"/>
      <c r="Q24" s="59"/>
      <c r="R24" s="297"/>
      <c r="S24" s="56"/>
      <c r="T24" s="60"/>
      <c r="U24" s="56"/>
      <c r="V24" s="56"/>
      <c r="W24" s="56"/>
      <c r="X24" s="56"/>
      <c r="Y24" s="56"/>
    </row>
    <row r="25" spans="1:25" ht="18">
      <c r="B25" s="468"/>
      <c r="C25" s="469"/>
      <c r="D25" s="235"/>
      <c r="E25" s="235"/>
      <c r="F25" s="235"/>
      <c r="G25" s="235"/>
      <c r="H25" s="235"/>
      <c r="I25" s="112"/>
      <c r="J25" s="235"/>
      <c r="K25" s="235"/>
      <c r="L25" s="235"/>
      <c r="M25" s="64"/>
      <c r="N25" s="64"/>
      <c r="O25" s="470"/>
      <c r="P25" s="56"/>
      <c r="Q25" s="470"/>
      <c r="R25" s="297"/>
      <c r="S25" s="56"/>
      <c r="T25" s="60"/>
      <c r="U25" s="714"/>
      <c r="V25" s="56"/>
      <c r="W25" s="56"/>
      <c r="X25" s="56"/>
      <c r="Y25" s="56"/>
    </row>
    <row r="26" spans="1:25" ht="20.100000000000001" customHeight="1">
      <c r="A26" s="692"/>
      <c r="B26" s="18" t="str">
        <f>IF(Contents!$B$2=2,"Board of Directors Committees","Комитеты совета директоров")</f>
        <v>Board of Directors Committees</v>
      </c>
      <c r="C26" s="45"/>
      <c r="D26" s="719"/>
      <c r="E26" s="719"/>
      <c r="F26" s="719"/>
      <c r="G26" s="719"/>
      <c r="H26" s="719"/>
      <c r="I26" s="719"/>
      <c r="J26" s="719"/>
      <c r="K26" s="719"/>
      <c r="L26" s="719"/>
      <c r="M26" s="719"/>
      <c r="N26" s="719"/>
      <c r="O26" s="470"/>
      <c r="P26" s="56"/>
      <c r="Q26" s="470"/>
      <c r="R26" s="718"/>
      <c r="S26" s="717"/>
      <c r="T26" s="717"/>
      <c r="U26" s="717"/>
      <c r="V26" s="56"/>
      <c r="W26" s="56"/>
      <c r="X26" s="56"/>
      <c r="Y26" s="56"/>
    </row>
    <row r="27" spans="1:25" ht="25.5">
      <c r="B27" s="443" t="str">
        <f>IF(Contents!$B$2=2,"Audit committee","Комитет по аудиту")</f>
        <v>Audit committee</v>
      </c>
      <c r="C27" s="444"/>
      <c r="D27" s="296"/>
      <c r="E27" s="296"/>
      <c r="F27" s="296"/>
      <c r="G27" s="296"/>
      <c r="H27" s="296"/>
      <c r="I27" s="296"/>
      <c r="J27" s="296"/>
      <c r="K27" s="296"/>
      <c r="L27" s="296"/>
      <c r="M27" s="296"/>
      <c r="N27" s="296"/>
      <c r="O27" s="470"/>
      <c r="P27" s="56"/>
      <c r="Q27" s="470"/>
      <c r="R27" s="465" t="s">
        <v>170</v>
      </c>
      <c r="S27" s="71"/>
      <c r="T27" s="71" t="s">
        <v>163</v>
      </c>
      <c r="U27" s="71"/>
      <c r="V27" s="56"/>
      <c r="W27" s="56">
        <v>1</v>
      </c>
      <c r="X27" s="56"/>
      <c r="Y27" s="56"/>
    </row>
    <row r="28" spans="1:25" ht="18">
      <c r="A28" s="692"/>
      <c r="B28" s="409" t="str">
        <f>IF(Contents!$B$2=2,"Number of members","Количество членов")</f>
        <v>Number of members</v>
      </c>
      <c r="C28" s="103" t="str">
        <f>IF(Contents!$B$2=2,"people"," человек")</f>
        <v>people</v>
      </c>
      <c r="D28" s="235">
        <v>3</v>
      </c>
      <c r="E28" s="235">
        <v>3</v>
      </c>
      <c r="F28" s="235">
        <v>3</v>
      </c>
      <c r="G28" s="235">
        <v>3</v>
      </c>
      <c r="H28" s="235">
        <v>3</v>
      </c>
      <c r="I28" s="112">
        <v>3</v>
      </c>
      <c r="J28" s="112">
        <v>3</v>
      </c>
      <c r="K28" s="112">
        <v>3</v>
      </c>
      <c r="L28" s="112">
        <v>5</v>
      </c>
      <c r="M28" s="112">
        <v>5</v>
      </c>
      <c r="N28" s="906">
        <v>4</v>
      </c>
      <c r="O28" s="64"/>
      <c r="P28" s="56" t="str">
        <f>IF(Contents!$B$2=2,"Yes","Да")</f>
        <v>Yes</v>
      </c>
      <c r="Q28" s="64"/>
      <c r="R28" s="297"/>
      <c r="S28" s="56"/>
      <c r="T28" s="60"/>
      <c r="U28" s="56"/>
      <c r="V28" s="56"/>
      <c r="W28" s="56"/>
      <c r="X28" s="56"/>
      <c r="Y28" s="56"/>
    </row>
    <row r="29" spans="1:25" ht="18">
      <c r="B29" s="467" t="str">
        <f>IF(Contents!$B$2=2,"Number of meetings held","Количество проведенных заседаний")</f>
        <v>Number of meetings held</v>
      </c>
      <c r="C29" s="12" t="str">
        <f>IF(Contents!$B$2=2,"unit","ед.")</f>
        <v>unit</v>
      </c>
      <c r="D29" s="235">
        <v>5</v>
      </c>
      <c r="E29" s="235">
        <v>4</v>
      </c>
      <c r="F29" s="235">
        <v>4</v>
      </c>
      <c r="G29" s="235">
        <v>5</v>
      </c>
      <c r="H29" s="235">
        <v>4</v>
      </c>
      <c r="I29" s="112">
        <v>4</v>
      </c>
      <c r="J29" s="112">
        <v>4</v>
      </c>
      <c r="K29" s="112">
        <v>5</v>
      </c>
      <c r="L29" s="112">
        <v>6</v>
      </c>
      <c r="M29" s="112">
        <v>7</v>
      </c>
      <c r="N29" s="906">
        <v>4</v>
      </c>
      <c r="P29" s="56"/>
      <c r="R29" s="726"/>
      <c r="S29" s="56"/>
      <c r="T29" s="725"/>
      <c r="U29" s="714"/>
      <c r="V29" s="56"/>
      <c r="W29" s="56"/>
      <c r="X29" s="56"/>
      <c r="Y29" s="56"/>
    </row>
    <row r="30" spans="1:25" ht="18">
      <c r="A30" s="731"/>
      <c r="B30" s="468"/>
      <c r="C30" s="103"/>
      <c r="D30" s="235"/>
      <c r="E30" s="235"/>
      <c r="F30" s="235"/>
      <c r="G30" s="235"/>
      <c r="H30" s="235"/>
      <c r="I30" s="112"/>
      <c r="J30" s="112"/>
      <c r="K30" s="112"/>
      <c r="L30" s="112"/>
      <c r="M30" s="112"/>
      <c r="N30" s="112"/>
      <c r="P30" s="56"/>
      <c r="R30" s="297"/>
      <c r="S30" s="56"/>
      <c r="T30" s="60"/>
      <c r="U30" s="714"/>
      <c r="V30" s="56"/>
      <c r="W30" s="56"/>
      <c r="X30" s="56"/>
      <c r="Y30" s="56"/>
    </row>
    <row r="31" spans="1:25" ht="25.5">
      <c r="B31" s="443" t="str">
        <f>IF(Contents!$B$2=2,"Strategy committee","Комитет по стратегии")</f>
        <v>Strategy committee</v>
      </c>
      <c r="C31" s="444"/>
      <c r="D31" s="296"/>
      <c r="E31" s="296"/>
      <c r="F31" s="296"/>
      <c r="G31" s="296"/>
      <c r="H31" s="296"/>
      <c r="I31" s="296"/>
      <c r="J31" s="296"/>
      <c r="K31" s="296"/>
      <c r="L31" s="296"/>
      <c r="M31" s="296"/>
      <c r="N31" s="296"/>
      <c r="P31" s="56"/>
      <c r="R31" s="465" t="s">
        <v>170</v>
      </c>
      <c r="S31" s="71"/>
      <c r="T31" s="71" t="s">
        <v>163</v>
      </c>
      <c r="U31" s="71"/>
      <c r="V31" s="56"/>
      <c r="W31" s="56">
        <v>1</v>
      </c>
      <c r="X31" s="56"/>
      <c r="Y31" s="56"/>
    </row>
    <row r="32" spans="1:25" ht="18">
      <c r="A32" s="731"/>
      <c r="B32" s="409" t="str">
        <f>IF(Contents!$B$2=2,"Number of members","Количество членов")</f>
        <v>Number of members</v>
      </c>
      <c r="C32" s="103" t="str">
        <f>IF(Contents!$B$2=2,"people"," человек")</f>
        <v>people</v>
      </c>
      <c r="D32" s="235">
        <v>5</v>
      </c>
      <c r="E32" s="235">
        <v>5</v>
      </c>
      <c r="F32" s="235">
        <v>5</v>
      </c>
      <c r="G32" s="235">
        <v>5</v>
      </c>
      <c r="H32" s="235">
        <v>6</v>
      </c>
      <c r="I32" s="112">
        <v>6</v>
      </c>
      <c r="J32" s="112">
        <v>6</v>
      </c>
      <c r="K32" s="112">
        <v>6</v>
      </c>
      <c r="L32" s="112">
        <v>5</v>
      </c>
      <c r="M32" s="112">
        <v>5</v>
      </c>
      <c r="N32" s="906">
        <v>6</v>
      </c>
      <c r="P32" s="56" t="str">
        <f>IF(Contents!$B$2=2,"Yes","Да")</f>
        <v>Yes</v>
      </c>
      <c r="R32" s="297"/>
      <c r="S32" s="56"/>
      <c r="T32" s="60"/>
      <c r="U32" s="56"/>
      <c r="V32" s="56"/>
      <c r="W32" s="56"/>
      <c r="X32" s="56"/>
      <c r="Y32" s="56"/>
    </row>
    <row r="33" spans="1:25" ht="18">
      <c r="A33" s="692"/>
      <c r="B33" s="467" t="str">
        <f>IF(Contents!$B$2=2,"Number of meetings held","Количество проведенных заседаний")</f>
        <v>Number of meetings held</v>
      </c>
      <c r="C33" s="12" t="str">
        <f>IF(Contents!$B$2=2,"unit","ед.")</f>
        <v>unit</v>
      </c>
      <c r="D33" s="235">
        <v>4</v>
      </c>
      <c r="E33" s="235">
        <v>4</v>
      </c>
      <c r="F33" s="235">
        <v>3</v>
      </c>
      <c r="G33" s="235">
        <v>5</v>
      </c>
      <c r="H33" s="235">
        <v>4</v>
      </c>
      <c r="I33" s="112">
        <v>4</v>
      </c>
      <c r="J33" s="112">
        <v>4</v>
      </c>
      <c r="K33" s="112">
        <v>4</v>
      </c>
      <c r="L33" s="112">
        <v>4</v>
      </c>
      <c r="M33" s="112">
        <v>4</v>
      </c>
      <c r="N33" s="906">
        <v>4</v>
      </c>
      <c r="P33" s="56"/>
      <c r="R33" s="471"/>
      <c r="S33" s="472"/>
      <c r="T33" s="472"/>
      <c r="U33" s="472"/>
      <c r="V33" s="56"/>
      <c r="W33" s="56"/>
      <c r="X33" s="56"/>
      <c r="Y33" s="56"/>
    </row>
    <row r="34" spans="1:25" ht="18">
      <c r="B34" s="468"/>
      <c r="C34" s="103"/>
      <c r="D34" s="235"/>
      <c r="E34" s="235"/>
      <c r="F34" s="235"/>
      <c r="G34" s="235"/>
      <c r="H34" s="235"/>
      <c r="I34" s="112"/>
      <c r="J34" s="112"/>
      <c r="K34" s="112"/>
      <c r="L34" s="112"/>
      <c r="M34" s="112"/>
      <c r="N34" s="112"/>
      <c r="P34" s="56"/>
      <c r="R34" s="726"/>
      <c r="S34" s="714"/>
      <c r="T34" s="725"/>
      <c r="U34" s="714"/>
      <c r="V34" s="56"/>
      <c r="W34" s="56"/>
      <c r="X34" s="56"/>
      <c r="Y34" s="56"/>
    </row>
    <row r="35" spans="1:25" ht="25.5">
      <c r="B35" s="443" t="str">
        <f>IF(Contents!$B$2=2,"Remuneration and Nomination committee","Комитет по вознаграждениям и номинациям")</f>
        <v>Remuneration and Nomination committee</v>
      </c>
      <c r="C35" s="444"/>
      <c r="D35" s="296"/>
      <c r="E35" s="296"/>
      <c r="F35" s="296"/>
      <c r="G35" s="296"/>
      <c r="H35" s="296"/>
      <c r="I35" s="296"/>
      <c r="J35" s="296"/>
      <c r="K35" s="296"/>
      <c r="L35" s="296"/>
      <c r="M35" s="296"/>
      <c r="N35" s="296"/>
      <c r="P35" s="56"/>
      <c r="R35" s="465" t="s">
        <v>170</v>
      </c>
      <c r="S35" s="71"/>
      <c r="T35" s="71" t="s">
        <v>163</v>
      </c>
      <c r="U35" s="71"/>
      <c r="V35" s="56"/>
      <c r="W35" s="56">
        <v>1</v>
      </c>
      <c r="X35" s="56"/>
      <c r="Y35" s="56"/>
    </row>
    <row r="36" spans="1:25" ht="18">
      <c r="A36" s="731"/>
      <c r="B36" s="409" t="str">
        <f>IF(Contents!$B$2=2,"Number of members","Количество членов")</f>
        <v>Number of members</v>
      </c>
      <c r="C36" s="103" t="str">
        <f>IF(Contents!$B$2=2,"people"," человек")</f>
        <v>people</v>
      </c>
      <c r="D36" s="235">
        <v>3</v>
      </c>
      <c r="E36" s="235">
        <v>3</v>
      </c>
      <c r="F36" s="235">
        <v>3</v>
      </c>
      <c r="G36" s="235">
        <v>3</v>
      </c>
      <c r="H36" s="235">
        <v>3</v>
      </c>
      <c r="I36" s="112">
        <v>3</v>
      </c>
      <c r="J36" s="112">
        <v>3</v>
      </c>
      <c r="K36" s="112">
        <v>3</v>
      </c>
      <c r="L36" s="112">
        <v>5</v>
      </c>
      <c r="M36" s="112">
        <v>5</v>
      </c>
      <c r="N36" s="906">
        <v>4</v>
      </c>
      <c r="P36" s="56" t="str">
        <f>IF(Contents!$B$2=2,"Yes","Да")</f>
        <v>Yes</v>
      </c>
      <c r="R36" s="297"/>
      <c r="S36" s="56"/>
      <c r="T36" s="60"/>
      <c r="U36" s="56"/>
      <c r="V36" s="56"/>
      <c r="W36" s="56"/>
      <c r="X36" s="56"/>
      <c r="Y36" s="56"/>
    </row>
    <row r="37" spans="1:25" ht="18">
      <c r="A37" s="692"/>
      <c r="B37" s="467" t="str">
        <f>IF(Contents!$B$2=2,"Number of meetings held","Количество проведенных заседаний")</f>
        <v>Number of meetings held</v>
      </c>
      <c r="C37" s="12" t="str">
        <f>IF(Contents!$B$2=2,"unit","ед.")</f>
        <v>unit</v>
      </c>
      <c r="D37" s="235">
        <v>4</v>
      </c>
      <c r="E37" s="235">
        <v>4</v>
      </c>
      <c r="F37" s="235">
        <v>4</v>
      </c>
      <c r="G37" s="235">
        <v>6</v>
      </c>
      <c r="H37" s="235">
        <v>4</v>
      </c>
      <c r="I37" s="112">
        <v>7</v>
      </c>
      <c r="J37" s="112">
        <v>5</v>
      </c>
      <c r="K37" s="112">
        <v>6</v>
      </c>
      <c r="L37" s="112">
        <v>5</v>
      </c>
      <c r="M37" s="112">
        <v>6</v>
      </c>
      <c r="N37" s="906">
        <v>5</v>
      </c>
      <c r="P37" s="56"/>
      <c r="R37" s="471"/>
      <c r="S37" s="472"/>
      <c r="T37" s="472"/>
      <c r="U37" s="472"/>
      <c r="V37" s="56"/>
      <c r="W37" s="56"/>
      <c r="X37" s="56"/>
      <c r="Y37" s="56"/>
    </row>
    <row r="38" spans="1:25" ht="18">
      <c r="B38" s="468"/>
      <c r="C38" s="103"/>
      <c r="D38" s="235"/>
      <c r="E38" s="235"/>
      <c r="F38" s="235"/>
      <c r="G38" s="235"/>
      <c r="H38" s="235"/>
      <c r="I38" s="112"/>
      <c r="J38" s="112"/>
      <c r="K38" s="112"/>
      <c r="L38" s="112"/>
      <c r="M38" s="112"/>
      <c r="N38" s="112"/>
      <c r="P38" s="56"/>
      <c r="R38" s="715"/>
      <c r="S38" s="71"/>
      <c r="T38" s="71"/>
      <c r="U38" s="71"/>
      <c r="V38" s="56"/>
      <c r="W38" s="56"/>
      <c r="X38" s="56"/>
      <c r="Y38" s="56"/>
    </row>
    <row r="39" spans="1:25" ht="25.5">
      <c r="B39" s="443" t="str">
        <f>IF(Contents!$B$2=2,"Subcommittee on Climate and Alternative Energy","Подкомитет по климату и альтернативной энергетике при Комитете по стратегии")</f>
        <v>Subcommittee on Climate and Alternative Energy</v>
      </c>
      <c r="C39" s="444"/>
      <c r="D39" s="296"/>
      <c r="E39" s="296"/>
      <c r="F39" s="296"/>
      <c r="G39" s="296"/>
      <c r="H39" s="296"/>
      <c r="I39" s="296"/>
      <c r="J39" s="296"/>
      <c r="K39" s="296"/>
      <c r="L39" s="296"/>
      <c r="M39" s="296"/>
      <c r="N39" s="296"/>
      <c r="P39" s="56"/>
      <c r="R39" s="465" t="s">
        <v>170</v>
      </c>
      <c r="S39" s="71"/>
      <c r="T39" s="71" t="s">
        <v>163</v>
      </c>
      <c r="U39" s="71"/>
      <c r="V39" s="56"/>
      <c r="W39" s="56">
        <v>1</v>
      </c>
      <c r="X39" s="56"/>
      <c r="Y39" s="56"/>
    </row>
    <row r="40" spans="1:25" ht="18">
      <c r="A40" s="731"/>
      <c r="B40" s="409" t="str">
        <f>IF(Contents!$B$2=2,"Number of members","Количество членов")</f>
        <v>Number of members</v>
      </c>
      <c r="C40" s="103" t="str">
        <f>IF(Contents!$B$2=2,"people"," человек")</f>
        <v>people</v>
      </c>
      <c r="D40" s="235" t="s">
        <v>185</v>
      </c>
      <c r="E40" s="235" t="s">
        <v>185</v>
      </c>
      <c r="F40" s="235" t="s">
        <v>185</v>
      </c>
      <c r="G40" s="235" t="s">
        <v>185</v>
      </c>
      <c r="H40" s="235" t="s">
        <v>185</v>
      </c>
      <c r="I40" s="112" t="s">
        <v>185</v>
      </c>
      <c r="J40" s="112">
        <v>6</v>
      </c>
      <c r="K40" s="112">
        <v>6</v>
      </c>
      <c r="L40" s="112">
        <v>5</v>
      </c>
      <c r="M40" s="112">
        <v>6</v>
      </c>
      <c r="N40" s="906">
        <v>5</v>
      </c>
      <c r="P40" s="56" t="str">
        <f>IF(Contents!$B$2=2,"Yes","Да")</f>
        <v>Yes</v>
      </c>
      <c r="R40" s="297"/>
      <c r="S40" s="56"/>
      <c r="T40" s="60"/>
      <c r="U40" s="56"/>
      <c r="V40" s="56"/>
      <c r="W40" s="56"/>
      <c r="X40" s="56"/>
      <c r="Y40" s="56"/>
    </row>
    <row r="41" spans="1:25" ht="18">
      <c r="B41" s="467" t="str">
        <f>IF(Contents!$B$2=2,"Number of meetings held","Количество проведенных заседаний")</f>
        <v>Number of meetings held</v>
      </c>
      <c r="C41" s="12" t="str">
        <f>IF(Contents!$B$2=2,"unit","ед.")</f>
        <v>unit</v>
      </c>
      <c r="D41" s="235" t="s">
        <v>185</v>
      </c>
      <c r="E41" s="235" t="s">
        <v>185</v>
      </c>
      <c r="F41" s="235" t="s">
        <v>185</v>
      </c>
      <c r="G41" s="235" t="s">
        <v>185</v>
      </c>
      <c r="H41" s="235" t="s">
        <v>185</v>
      </c>
      <c r="I41" s="112" t="s">
        <v>185</v>
      </c>
      <c r="J41" s="112">
        <v>5</v>
      </c>
      <c r="K41" s="112">
        <v>4</v>
      </c>
      <c r="L41" s="112">
        <v>5</v>
      </c>
      <c r="M41" s="112">
        <v>5</v>
      </c>
      <c r="N41" s="906">
        <v>3</v>
      </c>
      <c r="P41" s="56"/>
      <c r="R41" s="471"/>
      <c r="S41" s="472"/>
      <c r="T41" s="472"/>
      <c r="U41" s="472"/>
      <c r="V41" s="56"/>
      <c r="W41" s="56"/>
      <c r="X41" s="56"/>
      <c r="Y41" s="56"/>
    </row>
    <row r="42" spans="1:25" ht="18">
      <c r="B42" s="468"/>
      <c r="C42" s="469"/>
      <c r="D42" s="235"/>
      <c r="E42" s="235"/>
      <c r="F42" s="235"/>
      <c r="G42" s="235"/>
      <c r="H42" s="235"/>
      <c r="I42" s="235"/>
      <c r="J42" s="235"/>
      <c r="K42" s="235"/>
      <c r="L42" s="235"/>
      <c r="M42" s="58"/>
      <c r="N42" s="58"/>
      <c r="P42" s="56"/>
      <c r="R42" s="297"/>
      <c r="S42" s="56"/>
      <c r="T42" s="60"/>
      <c r="U42" s="56"/>
      <c r="V42" s="56"/>
      <c r="W42" s="56"/>
      <c r="X42" s="56"/>
      <c r="Y42" s="56"/>
    </row>
    <row r="43" spans="1:25" ht="20.100000000000001" customHeight="1">
      <c r="B43" s="473" t="str">
        <f>IF(Contents!$B$2=2,"Management Board","Правление")</f>
        <v>Management Board</v>
      </c>
      <c r="C43" s="45"/>
      <c r="D43" s="719"/>
      <c r="E43" s="719"/>
      <c r="F43" s="719"/>
      <c r="G43" s="719"/>
      <c r="H43" s="719"/>
      <c r="I43" s="719"/>
      <c r="J43" s="719"/>
      <c r="K43" s="719"/>
      <c r="L43" s="719"/>
      <c r="M43" s="719"/>
      <c r="N43" s="719"/>
      <c r="P43" s="56"/>
      <c r="R43" s="718"/>
      <c r="S43" s="717"/>
      <c r="T43" s="717"/>
      <c r="U43" s="717"/>
      <c r="V43" s="56"/>
      <c r="W43" s="56"/>
      <c r="X43" s="56"/>
      <c r="Y43" s="56"/>
    </row>
    <row r="44" spans="1:25" ht="25.5">
      <c r="B44" s="443" t="str">
        <f>IF(Contents!$B$2=2,"Composition","Состав")</f>
        <v>Composition</v>
      </c>
      <c r="C44" s="456"/>
      <c r="D44" s="328"/>
      <c r="E44" s="328"/>
      <c r="F44" s="328"/>
      <c r="G44" s="328"/>
      <c r="H44" s="328"/>
      <c r="I44" s="250"/>
      <c r="J44" s="250"/>
      <c r="K44" s="250"/>
      <c r="L44" s="250"/>
      <c r="M44" s="296"/>
      <c r="N44" s="296"/>
      <c r="P44" s="56" t="str">
        <f>IF(Contents!$B$2=2,"Yes","Да")</f>
        <v>Yes</v>
      </c>
      <c r="R44" s="465" t="s">
        <v>170</v>
      </c>
      <c r="S44" s="71"/>
      <c r="T44" s="71" t="s">
        <v>163</v>
      </c>
      <c r="U44" s="71"/>
      <c r="V44" s="56"/>
      <c r="W44" s="56">
        <v>1</v>
      </c>
      <c r="X44" s="56"/>
      <c r="Y44" s="56"/>
    </row>
    <row r="45" spans="1:25" ht="18">
      <c r="B45" s="409" t="str">
        <f>IF(Contents!$B$2=2,"Management Board members","Члены Правления")</f>
        <v>Management Board members</v>
      </c>
      <c r="C45" s="103" t="str">
        <f>IF(Contents!$B$2=2,"people"," человек")</f>
        <v>people</v>
      </c>
      <c r="D45" s="466">
        <v>9</v>
      </c>
      <c r="E45" s="466">
        <v>12</v>
      </c>
      <c r="F45" s="466">
        <v>11</v>
      </c>
      <c r="G45" s="466">
        <v>11</v>
      </c>
      <c r="H45" s="466">
        <v>13</v>
      </c>
      <c r="I45" s="466">
        <v>14</v>
      </c>
      <c r="J45" s="466">
        <v>13</v>
      </c>
      <c r="K45" s="466">
        <v>12</v>
      </c>
      <c r="L45" s="466">
        <v>12</v>
      </c>
      <c r="M45" s="466">
        <v>15</v>
      </c>
      <c r="N45" s="924">
        <v>14</v>
      </c>
      <c r="P45" s="56"/>
      <c r="R45" s="297"/>
      <c r="S45" s="56"/>
      <c r="T45" s="56"/>
      <c r="U45" s="297"/>
      <c r="V45" s="56"/>
      <c r="W45" s="56"/>
      <c r="X45" s="56"/>
      <c r="Y45" s="56"/>
    </row>
    <row r="46" spans="1:25" ht="18">
      <c r="B46" s="23" t="str">
        <f>IF(Contents!$B$2=2,"by gender","по полу")</f>
        <v>by gender</v>
      </c>
      <c r="C46" s="77"/>
      <c r="D46" s="446"/>
      <c r="E46" s="446"/>
      <c r="F46" s="446"/>
      <c r="G46" s="446"/>
      <c r="H46" s="446"/>
      <c r="I46" s="722"/>
      <c r="J46" s="721"/>
      <c r="K46" s="721"/>
      <c r="L46" s="721"/>
      <c r="M46" s="721"/>
      <c r="N46" s="721"/>
      <c r="P46" s="56"/>
      <c r="R46" s="297"/>
      <c r="S46" s="56"/>
      <c r="T46" s="56"/>
      <c r="U46" s="60"/>
      <c r="V46" s="56"/>
      <c r="W46" s="56"/>
      <c r="X46" s="56"/>
      <c r="Y46" s="56"/>
    </row>
    <row r="47" spans="1:25" ht="18">
      <c r="B47" s="177" t="str">
        <f>IF(Contents!$B$2=2,"Male","Мужчины")</f>
        <v>Male</v>
      </c>
      <c r="C47" s="103" t="str">
        <f>IF(Contents!$B$2=2,"people"," человек")</f>
        <v>people</v>
      </c>
      <c r="D47" s="466">
        <v>8</v>
      </c>
      <c r="E47" s="466">
        <v>11</v>
      </c>
      <c r="F47" s="466">
        <v>10</v>
      </c>
      <c r="G47" s="466">
        <v>10</v>
      </c>
      <c r="H47" s="466">
        <v>12</v>
      </c>
      <c r="I47" s="101">
        <v>13</v>
      </c>
      <c r="J47" s="101">
        <v>12</v>
      </c>
      <c r="K47" s="101">
        <v>11</v>
      </c>
      <c r="L47" s="101">
        <v>11</v>
      </c>
      <c r="M47" s="101">
        <v>14</v>
      </c>
      <c r="N47" s="204">
        <v>13</v>
      </c>
      <c r="P47" s="56"/>
      <c r="R47" s="297"/>
      <c r="S47" s="56"/>
      <c r="T47" s="56"/>
      <c r="U47" s="299"/>
      <c r="V47" s="56"/>
      <c r="W47" s="56"/>
      <c r="X47" s="56"/>
      <c r="Y47" s="56"/>
    </row>
    <row r="48" spans="1:25" ht="18">
      <c r="B48" s="177" t="str">
        <f>IF(Contents!$B$2=2,"Female","Женщины")</f>
        <v>Female</v>
      </c>
      <c r="C48" s="103" t="str">
        <f>IF(Contents!$B$2=2,"people"," человек")</f>
        <v>people</v>
      </c>
      <c r="D48" s="466">
        <v>1</v>
      </c>
      <c r="E48" s="466">
        <v>1</v>
      </c>
      <c r="F48" s="466">
        <v>1</v>
      </c>
      <c r="G48" s="466">
        <v>1</v>
      </c>
      <c r="H48" s="466">
        <v>1</v>
      </c>
      <c r="I48" s="101">
        <v>1</v>
      </c>
      <c r="J48" s="101">
        <v>1</v>
      </c>
      <c r="K48" s="101">
        <v>1</v>
      </c>
      <c r="L48" s="101">
        <v>1</v>
      </c>
      <c r="M48" s="101">
        <v>1</v>
      </c>
      <c r="N48" s="204">
        <v>1</v>
      </c>
      <c r="P48" s="56"/>
      <c r="R48" s="297"/>
      <c r="S48" s="56"/>
      <c r="T48" s="56"/>
      <c r="U48" s="299"/>
      <c r="V48" s="56"/>
      <c r="W48" s="56"/>
      <c r="X48" s="56"/>
      <c r="Y48" s="56"/>
    </row>
    <row r="49" spans="1:25">
      <c r="B49" s="723" t="str">
        <f>IF(Contents!$B$2=2,"Percentage of Female in the Management Board","Доля женщин в Правлении")</f>
        <v>Percentage of Female in the Management Board</v>
      </c>
      <c r="C49" s="103" t="s">
        <v>0</v>
      </c>
      <c r="D49" s="466">
        <v>11</v>
      </c>
      <c r="E49" s="466">
        <v>8</v>
      </c>
      <c r="F49" s="466">
        <v>9</v>
      </c>
      <c r="G49" s="466">
        <v>9</v>
      </c>
      <c r="H49" s="466">
        <v>8</v>
      </c>
      <c r="I49" s="466">
        <v>7</v>
      </c>
      <c r="J49" s="466">
        <v>8</v>
      </c>
      <c r="K49" s="466">
        <v>8</v>
      </c>
      <c r="L49" s="466">
        <v>8</v>
      </c>
      <c r="M49" s="466">
        <v>7</v>
      </c>
      <c r="N49" s="924">
        <v>7</v>
      </c>
      <c r="P49" s="56"/>
      <c r="R49" s="297"/>
      <c r="S49" s="56"/>
      <c r="T49" s="56"/>
      <c r="U49" s="297" t="str">
        <f>IF(Contents!$B$2=2,"PBCS 49","СОКБ 49")</f>
        <v>PBCS 49</v>
      </c>
      <c r="V49" s="56"/>
      <c r="W49" s="56">
        <v>1</v>
      </c>
      <c r="X49" s="56"/>
      <c r="Y49" s="56"/>
    </row>
    <row r="50" spans="1:25" ht="18">
      <c r="A50" s="692"/>
      <c r="B50" s="733"/>
      <c r="C50" s="103"/>
      <c r="D50" s="235"/>
      <c r="E50" s="235"/>
      <c r="F50" s="235"/>
      <c r="G50" s="235"/>
      <c r="H50" s="235"/>
      <c r="I50" s="112"/>
      <c r="J50" s="343"/>
      <c r="K50" s="343"/>
      <c r="L50" s="343"/>
      <c r="M50" s="64"/>
      <c r="N50" s="64"/>
      <c r="P50" s="56"/>
      <c r="R50" s="297"/>
      <c r="S50" s="56"/>
      <c r="T50" s="60"/>
      <c r="U50" s="56"/>
      <c r="V50" s="56"/>
      <c r="W50" s="56"/>
      <c r="X50" s="56"/>
      <c r="Y50" s="56"/>
    </row>
    <row r="51" spans="1:25" ht="20.100000000000001" customHeight="1">
      <c r="A51" s="692"/>
      <c r="B51" s="18" t="str">
        <f>IF(Contents!$B$2=2,"Security hotline","Горячая линия безопасности")</f>
        <v>Security hotline</v>
      </c>
      <c r="C51" s="45"/>
      <c r="D51" s="719"/>
      <c r="E51" s="719"/>
      <c r="F51" s="719"/>
      <c r="G51" s="719"/>
      <c r="H51" s="719"/>
      <c r="I51" s="719"/>
      <c r="J51" s="719"/>
      <c r="K51" s="719"/>
      <c r="L51" s="719"/>
      <c r="M51" s="719"/>
      <c r="N51" s="719"/>
      <c r="P51" s="56"/>
      <c r="R51" s="718"/>
      <c r="S51" s="717"/>
      <c r="T51" s="717"/>
      <c r="U51" s="717"/>
      <c r="V51" s="56"/>
      <c r="W51" s="56"/>
      <c r="X51" s="56"/>
      <c r="Y51" s="56"/>
    </row>
    <row r="52" spans="1:25" ht="18">
      <c r="B52" s="443" t="str">
        <f>IF(Contents!$B$2=2,"Number of inquiries","Количество обращений")</f>
        <v>Number of inquiries</v>
      </c>
      <c r="C52" s="444"/>
      <c r="D52" s="296"/>
      <c r="E52" s="296"/>
      <c r="F52" s="296"/>
      <c r="G52" s="296"/>
      <c r="H52" s="296"/>
      <c r="I52" s="296"/>
      <c r="J52" s="296"/>
      <c r="K52" s="296"/>
      <c r="L52" s="296"/>
      <c r="M52" s="296"/>
      <c r="N52" s="296"/>
      <c r="P52" s="56"/>
      <c r="R52" s="715" t="s">
        <v>164</v>
      </c>
      <c r="S52" s="71"/>
      <c r="T52" s="71" t="s">
        <v>142</v>
      </c>
      <c r="U52" s="71"/>
      <c r="V52" s="56"/>
      <c r="W52" s="56">
        <v>1</v>
      </c>
      <c r="X52" s="56"/>
      <c r="Y52" s="56"/>
    </row>
    <row r="53" spans="1:25" ht="18">
      <c r="A53" s="731"/>
      <c r="B53" s="218" t="str">
        <f>IF(Contents!$B$2=2,"Security hotline","Горячая линия безопасности")</f>
        <v>Security hotline</v>
      </c>
      <c r="C53" s="12" t="str">
        <f>IF(Contents!$B$2=2,"unit","ед.")</f>
        <v>unit</v>
      </c>
      <c r="D53" s="720" t="s">
        <v>185</v>
      </c>
      <c r="E53" s="720" t="s">
        <v>185</v>
      </c>
      <c r="F53" s="720" t="s">
        <v>185</v>
      </c>
      <c r="G53" s="720" t="s">
        <v>185</v>
      </c>
      <c r="H53" s="720" t="s">
        <v>185</v>
      </c>
      <c r="I53" s="222">
        <v>624</v>
      </c>
      <c r="J53" s="720">
        <v>982</v>
      </c>
      <c r="K53" s="222">
        <v>1264</v>
      </c>
      <c r="L53" s="222">
        <v>847</v>
      </c>
      <c r="M53" s="222">
        <v>595</v>
      </c>
      <c r="N53" s="911">
        <v>500</v>
      </c>
      <c r="P53" s="56"/>
      <c r="R53" s="297"/>
      <c r="S53" s="56"/>
      <c r="T53" s="60"/>
      <c r="U53" s="714"/>
      <c r="V53" s="56"/>
      <c r="W53" s="56"/>
      <c r="X53" s="56"/>
      <c r="Y53" s="56"/>
    </row>
    <row r="54" spans="1:25" ht="18">
      <c r="A54" s="731"/>
      <c r="B54" s="218" t="str">
        <f>IF(Contents!$B$2=2,"Ethics and human rights hotline","Горячая линия этики и прав человека")</f>
        <v>Ethics and human rights hotline</v>
      </c>
      <c r="C54" s="12" t="str">
        <f>IF(Contents!$B$2=2,"unit","ед.")</f>
        <v>unit</v>
      </c>
      <c r="D54" s="720" t="s">
        <v>185</v>
      </c>
      <c r="E54" s="720" t="s">
        <v>185</v>
      </c>
      <c r="F54" s="720" t="s">
        <v>185</v>
      </c>
      <c r="G54" s="720" t="s">
        <v>185</v>
      </c>
      <c r="H54" s="720" t="s">
        <v>185</v>
      </c>
      <c r="I54" s="720" t="s">
        <v>185</v>
      </c>
      <c r="J54" s="222">
        <v>21</v>
      </c>
      <c r="K54" s="222">
        <v>10</v>
      </c>
      <c r="L54" s="222">
        <v>12</v>
      </c>
      <c r="M54" s="222">
        <v>18</v>
      </c>
      <c r="N54" s="911">
        <v>28</v>
      </c>
      <c r="P54" s="56"/>
      <c r="R54" s="297"/>
      <c r="S54" s="56"/>
      <c r="T54" s="60"/>
      <c r="U54" s="56"/>
      <c r="V54" s="56"/>
      <c r="W54" s="56"/>
      <c r="X54" s="56"/>
      <c r="Y54" s="56"/>
    </row>
    <row r="55" spans="1:25" ht="36">
      <c r="A55" s="256"/>
      <c r="B55" s="218" t="str">
        <f>IF(Contents!$B$2=2,"Total number of violations confirmed based on the results of processing inquiries","Общее количество нарушений, подтвержденных по результатам обработки обращений")</f>
        <v>Total number of violations confirmed based on the results of processing inquiries</v>
      </c>
      <c r="C55" s="12" t="str">
        <f>IF(Contents!$B$2=2,"unit","ед.")</f>
        <v>unit</v>
      </c>
      <c r="D55" s="720" t="s">
        <v>185</v>
      </c>
      <c r="E55" s="720" t="s">
        <v>185</v>
      </c>
      <c r="F55" s="720" t="s">
        <v>185</v>
      </c>
      <c r="G55" s="720" t="s">
        <v>185</v>
      </c>
      <c r="H55" s="720" t="s">
        <v>185</v>
      </c>
      <c r="I55" s="720" t="s">
        <v>185</v>
      </c>
      <c r="J55" s="720" t="s">
        <v>185</v>
      </c>
      <c r="K55" s="222">
        <v>2</v>
      </c>
      <c r="L55" s="222">
        <v>0</v>
      </c>
      <c r="M55" s="222">
        <v>0</v>
      </c>
      <c r="N55" s="911">
        <v>0</v>
      </c>
      <c r="P55" s="56"/>
      <c r="R55" s="726"/>
      <c r="S55" s="56"/>
      <c r="T55" s="725"/>
      <c r="U55" s="714"/>
      <c r="V55" s="56"/>
      <c r="W55" s="56"/>
      <c r="X55" s="56"/>
      <c r="Y55" s="56"/>
    </row>
    <row r="56" spans="1:25" ht="18">
      <c r="A56" s="692"/>
      <c r="B56" s="218"/>
      <c r="C56" s="103"/>
      <c r="D56" s="720"/>
      <c r="E56" s="720"/>
      <c r="F56" s="720"/>
      <c r="G56" s="720"/>
      <c r="H56" s="720"/>
      <c r="I56" s="720"/>
      <c r="J56" s="222"/>
      <c r="K56" s="222"/>
      <c r="L56" s="222"/>
      <c r="M56" s="58"/>
      <c r="N56" s="732"/>
      <c r="P56" s="56"/>
      <c r="R56" s="726"/>
      <c r="S56" s="56"/>
      <c r="T56" s="725"/>
      <c r="U56" s="714"/>
      <c r="V56" s="56"/>
      <c r="W56" s="56"/>
      <c r="X56" s="56"/>
      <c r="Y56" s="56"/>
    </row>
    <row r="57" spans="1:25" ht="20.100000000000001" customHeight="1">
      <c r="A57" s="692"/>
      <c r="B57" s="18" t="str">
        <f>IF(Contents!$B$2=2,"Responsible supply chain","Ответственная цепочка поставок")</f>
        <v>Responsible supply chain</v>
      </c>
      <c r="C57" s="45"/>
      <c r="D57" s="719"/>
      <c r="E57" s="719"/>
      <c r="F57" s="719"/>
      <c r="G57" s="719"/>
      <c r="H57" s="719"/>
      <c r="I57" s="719"/>
      <c r="J57" s="719"/>
      <c r="K57" s="719"/>
      <c r="L57" s="719"/>
      <c r="M57" s="719"/>
      <c r="N57" s="719"/>
      <c r="P57" s="56"/>
      <c r="R57" s="718"/>
      <c r="S57" s="717"/>
      <c r="T57" s="717"/>
      <c r="U57" s="717"/>
      <c r="V57" s="56"/>
      <c r="W57" s="56"/>
      <c r="X57" s="56"/>
      <c r="Y57" s="56"/>
    </row>
    <row r="58" spans="1:25" ht="18">
      <c r="A58" s="731"/>
      <c r="B58" s="730" t="str">
        <f>IF(Contents!$B$2=2,"Total of procured goods and services","Всего закупленных товаров и услуг")</f>
        <v>Total of procured goods and services</v>
      </c>
      <c r="C58" s="456" t="str">
        <f>IF(Contents!$B$2=2,"RR bln","млрд руб.")</f>
        <v>RR bln</v>
      </c>
      <c r="D58" s="728" t="s">
        <v>3</v>
      </c>
      <c r="E58" s="728" t="s">
        <v>3</v>
      </c>
      <c r="F58" s="296">
        <v>705.78800000000001</v>
      </c>
      <c r="G58" s="296">
        <v>1028.933</v>
      </c>
      <c r="H58" s="296">
        <v>651.22400000000005</v>
      </c>
      <c r="I58" s="296">
        <v>706.69500000000005</v>
      </c>
      <c r="J58" s="296">
        <v>782.40300000000002</v>
      </c>
      <c r="K58" s="727">
        <v>891</v>
      </c>
      <c r="L58" s="727">
        <v>946</v>
      </c>
      <c r="M58" s="727">
        <v>968</v>
      </c>
      <c r="N58" s="727">
        <v>749</v>
      </c>
      <c r="P58" s="56"/>
      <c r="R58" s="297"/>
      <c r="S58" s="56"/>
      <c r="T58" s="60"/>
      <c r="U58" s="714"/>
      <c r="V58" s="56"/>
      <c r="W58" s="56"/>
      <c r="X58" s="56"/>
      <c r="Y58" s="56"/>
    </row>
    <row r="59" spans="1:25" ht="36">
      <c r="A59" s="731"/>
      <c r="B59" s="218" t="str">
        <f>IF(Contents!$B$2=2,"Percentage of goods, works, and services purchased from Russian organizations of the total volume of goods, works, and services purchased","Доля закупок российских товаров, работ, услуг в общем объеме закупок, товаров, работ, услуг")</f>
        <v>Percentage of goods, works, and services purchased from Russian organizations of the total volume of goods, works, and services purchased</v>
      </c>
      <c r="C59" s="103" t="s">
        <v>0</v>
      </c>
      <c r="D59" s="720" t="s">
        <v>185</v>
      </c>
      <c r="E59" s="720" t="s">
        <v>185</v>
      </c>
      <c r="F59" s="720" t="s">
        <v>185</v>
      </c>
      <c r="G59" s="720" t="s">
        <v>185</v>
      </c>
      <c r="H59" s="720" t="s">
        <v>185</v>
      </c>
      <c r="I59" s="222" t="s">
        <v>185</v>
      </c>
      <c r="J59" s="720">
        <v>83</v>
      </c>
      <c r="K59" s="222">
        <v>71</v>
      </c>
      <c r="L59" s="222">
        <v>82</v>
      </c>
      <c r="M59" s="222">
        <v>83</v>
      </c>
      <c r="N59" s="911">
        <v>91</v>
      </c>
      <c r="P59" s="56" t="str">
        <f>IF(Contents!$B$2=2,"Yes","Да")</f>
        <v>Yes</v>
      </c>
      <c r="R59" s="297" t="s">
        <v>171</v>
      </c>
      <c r="S59" s="56"/>
      <c r="T59" s="60" t="s">
        <v>165</v>
      </c>
      <c r="U59" s="714" t="str">
        <f>IF(Contents!$B$2=2,"PBCS 65","СОКБ 65")</f>
        <v>PBCS 65</v>
      </c>
      <c r="V59" s="56"/>
      <c r="W59" s="56">
        <v>1</v>
      </c>
      <c r="X59" s="56"/>
      <c r="Y59" s="56"/>
    </row>
    <row r="60" spans="1:25" ht="18">
      <c r="B60" s="474"/>
      <c r="C60" s="103"/>
      <c r="D60" s="720"/>
      <c r="E60" s="720"/>
      <c r="F60" s="720"/>
      <c r="G60" s="720"/>
      <c r="H60" s="720"/>
      <c r="I60" s="720"/>
      <c r="J60" s="720"/>
      <c r="K60" s="720"/>
      <c r="L60" s="720"/>
      <c r="M60" s="720"/>
      <c r="N60" s="720"/>
      <c r="P60" s="56"/>
      <c r="R60" s="715"/>
      <c r="S60" s="71"/>
      <c r="T60" s="71"/>
      <c r="U60" s="71"/>
      <c r="V60" s="56"/>
      <c r="W60" s="56"/>
      <c r="X60" s="56"/>
      <c r="Y60" s="56"/>
    </row>
    <row r="61" spans="1:25" ht="18">
      <c r="B61" s="730" t="str">
        <f>IF(Contents!$B$2=2,"Supplier assessment using social and environmental criteria","Оценка поставщиков с применением социальных и экологических критериев")</f>
        <v>Supplier assessment using social and environmental criteria</v>
      </c>
      <c r="C61" s="456"/>
      <c r="D61" s="728"/>
      <c r="E61" s="728"/>
      <c r="F61" s="729"/>
      <c r="G61" s="729"/>
      <c r="H61" s="729"/>
      <c r="I61" s="729"/>
      <c r="J61" s="729"/>
      <c r="K61" s="728"/>
      <c r="L61" s="727"/>
      <c r="M61" s="727"/>
      <c r="N61" s="727"/>
      <c r="P61" s="56"/>
      <c r="R61" s="726"/>
      <c r="S61" s="714"/>
      <c r="T61" s="725"/>
      <c r="U61" s="714"/>
      <c r="V61" s="56"/>
      <c r="W61" s="56"/>
      <c r="X61" s="56"/>
      <c r="Y61" s="56"/>
    </row>
    <row r="62" spans="1:25" ht="51">
      <c r="B62" s="218" t="str">
        <f>IF(Contents!$B$2=2,"Number of suppliers who underwent environmental and social impact assessment","Количество поставщиков, оцененных на предмет экологического и социального воздействия")</f>
        <v>Number of suppliers who underwent environmental and social impact assessment</v>
      </c>
      <c r="C62" s="12" t="str">
        <f>IF(Contents!$B$2=2,"unit","ед.")</f>
        <v>unit</v>
      </c>
      <c r="D62" s="720" t="s">
        <v>185</v>
      </c>
      <c r="E62" s="720" t="s">
        <v>185</v>
      </c>
      <c r="F62" s="720" t="s">
        <v>185</v>
      </c>
      <c r="G62" s="720" t="s">
        <v>185</v>
      </c>
      <c r="H62" s="720" t="s">
        <v>185</v>
      </c>
      <c r="I62" s="222" t="s">
        <v>185</v>
      </c>
      <c r="J62" s="720" t="s">
        <v>185</v>
      </c>
      <c r="K62" s="222">
        <v>93</v>
      </c>
      <c r="L62" s="222">
        <v>141</v>
      </c>
      <c r="M62" s="222">
        <v>68</v>
      </c>
      <c r="N62" s="911">
        <v>109</v>
      </c>
      <c r="P62" s="56" t="str">
        <f>IF(Contents!$B$2=2,"Yes","Да")</f>
        <v>Yes</v>
      </c>
      <c r="R62" s="297" t="s">
        <v>172</v>
      </c>
      <c r="S62" s="56"/>
      <c r="T62" s="60" t="s">
        <v>166</v>
      </c>
      <c r="U62" s="714"/>
      <c r="V62" s="56"/>
      <c r="W62" s="56">
        <v>1</v>
      </c>
      <c r="X62" s="56"/>
      <c r="Y62" s="56"/>
    </row>
    <row r="63" spans="1:25" ht="18">
      <c r="B63" s="23" t="str">
        <f>IF(Contents!$B$2=2,"by type of suppliers assessed","по видам оцененных поставщиков")</f>
        <v>by type of suppliers assessed</v>
      </c>
      <c r="C63" s="77"/>
      <c r="D63" s="446"/>
      <c r="E63" s="446"/>
      <c r="F63" s="446"/>
      <c r="G63" s="446"/>
      <c r="H63" s="446"/>
      <c r="I63" s="722"/>
      <c r="J63" s="721"/>
      <c r="K63" s="721"/>
      <c r="L63" s="721"/>
      <c r="M63" s="721"/>
      <c r="N63" s="721"/>
      <c r="P63" s="56"/>
      <c r="R63" s="297"/>
      <c r="S63" s="56"/>
      <c r="T63" s="56"/>
      <c r="U63" s="60"/>
      <c r="V63" s="56"/>
      <c r="W63" s="56"/>
      <c r="X63" s="56"/>
      <c r="Y63" s="56"/>
    </row>
    <row r="64" spans="1:25" ht="18">
      <c r="B64" s="724" t="str">
        <f>IF(Contents!$B$2=2,"Number of new suppliers assessed","Количество новых оцененных поставщиков")</f>
        <v>Number of new suppliers assessed</v>
      </c>
      <c r="C64" s="12" t="str">
        <f>IF(Contents!$B$2=2,"unit","ед.")</f>
        <v>unit</v>
      </c>
      <c r="D64" s="720" t="s">
        <v>185</v>
      </c>
      <c r="E64" s="720" t="s">
        <v>185</v>
      </c>
      <c r="F64" s="720" t="s">
        <v>185</v>
      </c>
      <c r="G64" s="720" t="s">
        <v>185</v>
      </c>
      <c r="H64" s="720" t="s">
        <v>185</v>
      </c>
      <c r="I64" s="222" t="s">
        <v>185</v>
      </c>
      <c r="J64" s="720" t="s">
        <v>185</v>
      </c>
      <c r="K64" s="720" t="s">
        <v>185</v>
      </c>
      <c r="L64" s="222">
        <v>134</v>
      </c>
      <c r="M64" s="222">
        <v>60</v>
      </c>
      <c r="N64" s="911">
        <v>85</v>
      </c>
      <c r="P64" s="56" t="str">
        <f>IF(Contents!$B$2=2,"Yes","Да")</f>
        <v>Yes</v>
      </c>
      <c r="R64" s="297"/>
      <c r="S64" s="56"/>
      <c r="T64" s="60"/>
      <c r="U64" s="714"/>
      <c r="V64" s="56"/>
      <c r="W64" s="56"/>
      <c r="X64" s="56"/>
      <c r="Y64" s="56"/>
    </row>
    <row r="65" spans="1:27">
      <c r="B65" s="723" t="str">
        <f>IF(Contents!$B$2=2,"Percentage of new suppliers in all suppliers assessed","Доля новых оцененных поставщиков")</f>
        <v>Percentage of new suppliers in all suppliers assessed</v>
      </c>
      <c r="C65" s="103" t="s">
        <v>0</v>
      </c>
      <c r="D65" s="720" t="s">
        <v>185</v>
      </c>
      <c r="E65" s="720" t="s">
        <v>185</v>
      </c>
      <c r="F65" s="720" t="s">
        <v>185</v>
      </c>
      <c r="G65" s="720" t="s">
        <v>185</v>
      </c>
      <c r="H65" s="720" t="s">
        <v>185</v>
      </c>
      <c r="I65" s="222" t="s">
        <v>185</v>
      </c>
      <c r="J65" s="720" t="s">
        <v>185</v>
      </c>
      <c r="K65" s="720" t="s">
        <v>185</v>
      </c>
      <c r="L65" s="343">
        <v>95</v>
      </c>
      <c r="M65" s="343">
        <v>88</v>
      </c>
      <c r="N65" s="790">
        <v>78</v>
      </c>
      <c r="P65" s="56" t="str">
        <f>IF(Contents!$B$2=2,"Yes","Да")</f>
        <v>Yes</v>
      </c>
      <c r="R65" s="297"/>
      <c r="S65" s="56"/>
      <c r="T65" s="60"/>
      <c r="U65" s="714"/>
      <c r="V65" s="56"/>
      <c r="W65" s="56"/>
      <c r="X65" s="56"/>
      <c r="Y65" s="56"/>
    </row>
    <row r="66" spans="1:27" ht="18">
      <c r="B66" s="724" t="str">
        <f>IF(Contents!$B$2=2,"Number of active suppliers assessed","Количество действующих оцененных поставщиков")</f>
        <v>Number of active suppliers assessed</v>
      </c>
      <c r="C66" s="12" t="str">
        <f>IF(Contents!$B$2=2,"unit","ед.")</f>
        <v>unit</v>
      </c>
      <c r="D66" s="720" t="s">
        <v>185</v>
      </c>
      <c r="E66" s="720" t="s">
        <v>185</v>
      </c>
      <c r="F66" s="720" t="s">
        <v>185</v>
      </c>
      <c r="G66" s="720" t="s">
        <v>185</v>
      </c>
      <c r="H66" s="720" t="s">
        <v>185</v>
      </c>
      <c r="I66" s="222" t="s">
        <v>185</v>
      </c>
      <c r="J66" s="720" t="s">
        <v>185</v>
      </c>
      <c r="K66" s="720" t="s">
        <v>185</v>
      </c>
      <c r="L66" s="222">
        <v>7</v>
      </c>
      <c r="M66" s="222">
        <v>8</v>
      </c>
      <c r="N66" s="911">
        <v>24</v>
      </c>
      <c r="P66" s="56" t="str">
        <f>IF(Contents!$B$2=2,"Yes","Да")</f>
        <v>Yes</v>
      </c>
      <c r="R66" s="297"/>
      <c r="S66" s="56"/>
      <c r="T66" s="60"/>
      <c r="U66" s="714"/>
      <c r="V66" s="56"/>
      <c r="W66" s="56"/>
      <c r="X66" s="56"/>
      <c r="Y66" s="56"/>
    </row>
    <row r="67" spans="1:27">
      <c r="B67" s="723" t="str">
        <f>IF(Contents!$B$2=2,"Percentage of active suppliers in all suppliers assessed","Доля действующих оцененных поставщиков")</f>
        <v>Percentage of active suppliers in all suppliers assessed</v>
      </c>
      <c r="C67" s="103" t="s">
        <v>0</v>
      </c>
      <c r="D67" s="720" t="s">
        <v>185</v>
      </c>
      <c r="E67" s="720" t="s">
        <v>185</v>
      </c>
      <c r="F67" s="720" t="s">
        <v>185</v>
      </c>
      <c r="G67" s="720" t="s">
        <v>185</v>
      </c>
      <c r="H67" s="720" t="s">
        <v>185</v>
      </c>
      <c r="I67" s="222" t="s">
        <v>185</v>
      </c>
      <c r="J67" s="720" t="s">
        <v>185</v>
      </c>
      <c r="K67" s="720" t="s">
        <v>185</v>
      </c>
      <c r="L67" s="343">
        <v>5</v>
      </c>
      <c r="M67" s="343">
        <v>12</v>
      </c>
      <c r="N67" s="790">
        <v>22</v>
      </c>
      <c r="P67" s="56" t="str">
        <f>IF(Contents!$B$2=2,"Yes","Да")</f>
        <v>Yes</v>
      </c>
      <c r="R67" s="297"/>
      <c r="S67" s="56"/>
      <c r="T67" s="60"/>
      <c r="U67" s="714"/>
      <c r="V67" s="56"/>
      <c r="W67" s="56"/>
      <c r="X67" s="56"/>
      <c r="Y67" s="56"/>
    </row>
    <row r="68" spans="1:27" ht="18">
      <c r="B68" s="23" t="str">
        <f>IF(Contents!$B$2=2,"by the outcome of the assessment","по результатам оценки")</f>
        <v>by the outcome of the assessment</v>
      </c>
      <c r="C68" s="77"/>
      <c r="D68" s="446"/>
      <c r="E68" s="446"/>
      <c r="F68" s="446"/>
      <c r="G68" s="446"/>
      <c r="H68" s="446"/>
      <c r="I68" s="722"/>
      <c r="J68" s="721"/>
      <c r="K68" s="721"/>
      <c r="L68" s="721"/>
      <c r="M68" s="721"/>
      <c r="N68" s="721"/>
      <c r="P68" s="56"/>
      <c r="R68" s="297"/>
      <c r="S68" s="56"/>
      <c r="T68" s="56"/>
      <c r="U68" s="60"/>
      <c r="V68" s="56"/>
      <c r="W68" s="56"/>
      <c r="X68" s="56"/>
      <c r="Y68" s="56"/>
    </row>
    <row r="69" spans="1:27" ht="40.5" customHeight="1">
      <c r="A69" s="692"/>
      <c r="B69" s="218" t="str">
        <f>IF(Contents!$B$2=2,"Percentage of new suppliers selected using social and environmental criteria","Доля новых поставщиков, отобранных с применением социальных и экологических критериев")</f>
        <v>Percentage of new suppliers selected using social and environmental criteria</v>
      </c>
      <c r="C69" s="103" t="s">
        <v>0</v>
      </c>
      <c r="D69" s="720" t="s">
        <v>185</v>
      </c>
      <c r="E69" s="720" t="s">
        <v>185</v>
      </c>
      <c r="F69" s="720" t="s">
        <v>185</v>
      </c>
      <c r="G69" s="720" t="s">
        <v>185</v>
      </c>
      <c r="H69" s="720" t="s">
        <v>185</v>
      </c>
      <c r="I69" s="222" t="s">
        <v>185</v>
      </c>
      <c r="J69" s="720" t="s">
        <v>185</v>
      </c>
      <c r="K69" s="222">
        <v>100</v>
      </c>
      <c r="L69" s="222">
        <v>100</v>
      </c>
      <c r="M69" s="222">
        <v>100</v>
      </c>
      <c r="N69" s="911">
        <v>100</v>
      </c>
      <c r="P69" s="56" t="str">
        <f>IF(Contents!$B$2=2,"Yes","Да")</f>
        <v>Yes</v>
      </c>
      <c r="R69" s="297" t="s">
        <v>173</v>
      </c>
      <c r="S69" s="56"/>
      <c r="T69" s="60" t="s">
        <v>166</v>
      </c>
      <c r="U69" s="297"/>
      <c r="V69" s="56"/>
      <c r="W69" s="56">
        <v>1</v>
      </c>
      <c r="X69" s="56"/>
      <c r="Y69" s="56"/>
    </row>
    <row r="70" spans="1:27" ht="18">
      <c r="A70" s="692"/>
      <c r="B70" s="474"/>
      <c r="C70" s="103"/>
      <c r="D70" s="720"/>
      <c r="E70" s="720"/>
      <c r="F70" s="720"/>
      <c r="G70" s="720"/>
      <c r="H70" s="720"/>
      <c r="I70" s="720"/>
      <c r="J70" s="720"/>
      <c r="K70" s="720"/>
      <c r="L70" s="720"/>
      <c r="M70" s="720"/>
      <c r="N70" s="720"/>
      <c r="P70" s="56"/>
      <c r="R70" s="297"/>
      <c r="S70" s="56"/>
      <c r="T70" s="60"/>
      <c r="U70" s="297"/>
      <c r="V70" s="56"/>
      <c r="W70" s="56"/>
      <c r="X70" s="56"/>
      <c r="Y70" s="56"/>
    </row>
    <row r="71" spans="1:27" ht="20.100000000000001" customHeight="1">
      <c r="A71" s="1"/>
      <c r="B71" s="475" t="str">
        <f>IF(Contents!$B$2=2,"Innovation","Инновации")</f>
        <v>Innovation</v>
      </c>
      <c r="C71" s="45"/>
      <c r="D71" s="719"/>
      <c r="E71" s="719"/>
      <c r="F71" s="719"/>
      <c r="G71" s="719"/>
      <c r="H71" s="719"/>
      <c r="I71" s="719"/>
      <c r="J71" s="719"/>
      <c r="K71" s="719"/>
      <c r="L71" s="719"/>
      <c r="M71" s="719"/>
      <c r="N71" s="719"/>
      <c r="P71" s="56"/>
      <c r="R71" s="718"/>
      <c r="S71" s="717"/>
      <c r="T71" s="717"/>
      <c r="U71" s="717"/>
      <c r="V71" s="56"/>
      <c r="W71" s="56"/>
      <c r="X71" s="56"/>
      <c r="Y71" s="56"/>
    </row>
    <row r="72" spans="1:27" ht="18">
      <c r="A72" s="1"/>
      <c r="B72" s="716" t="str">
        <f>IF(Contents!$B$2=2,"Investment in R&amp;D","Инвестиции в НИОКР")</f>
        <v>Investment in R&amp;D</v>
      </c>
      <c r="C72" s="42" t="str">
        <f>IF(Contents!$B$2=2,"RR mln","млн руб.")</f>
        <v>RR mln</v>
      </c>
      <c r="D72" s="239" t="s">
        <v>185</v>
      </c>
      <c r="E72" s="239" t="s">
        <v>185</v>
      </c>
      <c r="F72" s="239" t="s">
        <v>185</v>
      </c>
      <c r="G72" s="239" t="s">
        <v>185</v>
      </c>
      <c r="H72" s="239" t="s">
        <v>185</v>
      </c>
      <c r="I72" s="239" t="s">
        <v>185</v>
      </c>
      <c r="J72" s="476">
        <v>183</v>
      </c>
      <c r="K72" s="476">
        <v>586</v>
      </c>
      <c r="L72" s="476">
        <v>808.77517434999993</v>
      </c>
      <c r="M72" s="476">
        <v>805</v>
      </c>
      <c r="N72" s="476">
        <v>835</v>
      </c>
      <c r="P72" s="56"/>
      <c r="R72" s="715"/>
      <c r="S72" s="71"/>
      <c r="T72" s="71"/>
      <c r="U72" s="56" t="str">
        <f>IF(Contents!$B$2=2,"PBCS 91","СОКБ 91")</f>
        <v>PBCS 91</v>
      </c>
      <c r="V72" s="56"/>
      <c r="W72" s="56">
        <v>2</v>
      </c>
      <c r="X72" s="56"/>
      <c r="Y72" s="56"/>
    </row>
    <row r="73" spans="1:27">
      <c r="B73" s="806" t="str">
        <f>IF(Contents!$B$2=2, $Z$73, $AA$73)</f>
        <v>To align its approaches with the consolidated financial statements in 2025, the Company revised its approach to calculating indicators and recalculated the indicators for 2023, 2024, and 2025. The indicators are disclosed in proportion to the Group's ownership interest in joint ventures (perimeter 2).</v>
      </c>
      <c r="C73" s="795"/>
      <c r="D73" s="478"/>
      <c r="E73" s="478"/>
      <c r="F73" s="478"/>
      <c r="G73" s="478"/>
      <c r="H73" s="478"/>
      <c r="I73" s="479"/>
      <c r="J73" s="478"/>
      <c r="K73" s="478"/>
      <c r="L73" s="478"/>
      <c r="M73" s="478"/>
      <c r="N73" s="478"/>
      <c r="O73" s="477" t="s">
        <v>167</v>
      </c>
      <c r="P73" s="638"/>
      <c r="Q73" s="477"/>
      <c r="R73" s="637"/>
      <c r="S73" s="638"/>
      <c r="T73" s="638"/>
      <c r="U73" s="638"/>
      <c r="V73" s="638"/>
      <c r="W73" s="638"/>
      <c r="X73" s="638"/>
      <c r="Z73" s="226" t="s">
        <v>196</v>
      </c>
      <c r="AA73" s="226" t="s">
        <v>195</v>
      </c>
    </row>
    <row r="74" spans="1:27">
      <c r="B74" s="713"/>
      <c r="C74" s="712"/>
      <c r="D74" s="130"/>
      <c r="E74" s="130"/>
      <c r="F74" s="130"/>
      <c r="G74" s="130"/>
      <c r="H74" s="130"/>
      <c r="I74" s="480"/>
      <c r="J74" s="130"/>
      <c r="K74" s="130"/>
      <c r="L74" s="130"/>
      <c r="M74" s="58"/>
      <c r="N74" s="58"/>
      <c r="O74" s="58"/>
      <c r="P74" s="56"/>
      <c r="Q74" s="58"/>
      <c r="R74" s="297"/>
      <c r="S74" s="56"/>
      <c r="T74" s="56"/>
      <c r="U74" s="60"/>
      <c r="V74" s="56"/>
      <c r="W74" s="56"/>
      <c r="X74" s="56"/>
    </row>
    <row r="75" spans="1:27">
      <c r="B75" s="141" t="str">
        <f>IF(Contents!$B$2=2,"For more information, see the Sustainable Development Reports for 2020-2025 (the Sustainability Management chapter).","Для получения дополнительной информации см. Отчеты об устойчивом развитии за 2020-2025 гг. (глава «Управление»).")</f>
        <v>For more information, see the Sustainable Development Reports for 2020-2025 (the Sustainability Management chapter).</v>
      </c>
      <c r="C75" s="712"/>
      <c r="D75" s="130"/>
      <c r="E75" s="130"/>
      <c r="F75" s="130"/>
      <c r="G75" s="130"/>
      <c r="H75" s="130"/>
      <c r="I75" s="480"/>
      <c r="J75" s="130"/>
      <c r="K75" s="130"/>
      <c r="L75" s="130"/>
      <c r="M75" s="58"/>
      <c r="N75" s="58"/>
      <c r="O75" s="58"/>
      <c r="P75" s="56"/>
      <c r="Q75" s="58"/>
      <c r="R75" s="297"/>
      <c r="S75" s="56"/>
      <c r="T75" s="56"/>
      <c r="U75" s="60"/>
      <c r="V75" s="56"/>
      <c r="W75" s="56"/>
      <c r="X75" s="56"/>
    </row>
    <row r="76" spans="1:27">
      <c r="V76" s="56"/>
      <c r="W76" s="56"/>
      <c r="X76" s="56"/>
    </row>
    <row r="77" spans="1:27">
      <c r="V77" s="56"/>
      <c r="W77" s="56"/>
      <c r="X77" s="56"/>
    </row>
    <row r="78" spans="1:27">
      <c r="V78" s="56"/>
      <c r="W78" s="56"/>
      <c r="X78" s="56"/>
    </row>
    <row r="79" spans="1:27">
      <c r="V79" s="56"/>
      <c r="W79" s="56"/>
      <c r="X79" s="56"/>
    </row>
    <row r="80" spans="1:27">
      <c r="V80" s="56"/>
      <c r="W80" s="56"/>
      <c r="X80" s="56"/>
    </row>
    <row r="81" spans="3:24">
      <c r="V81" s="56"/>
      <c r="W81" s="56"/>
      <c r="X81" s="56"/>
    </row>
    <row r="82" spans="3:24">
      <c r="V82" s="56"/>
      <c r="W82" s="56"/>
      <c r="X82" s="56"/>
    </row>
    <row r="83" spans="3:24">
      <c r="C83" s="43"/>
      <c r="D83" s="43"/>
      <c r="E83" s="43"/>
      <c r="F83" s="43"/>
      <c r="G83" s="43"/>
      <c r="H83" s="43"/>
      <c r="I83" s="43"/>
      <c r="J83" s="43"/>
      <c r="K83" s="43"/>
      <c r="L83" s="43"/>
      <c r="M83" s="43"/>
      <c r="N83" s="43"/>
      <c r="O83" s="43"/>
      <c r="Q83" s="43"/>
      <c r="R83" s="606"/>
      <c r="U83" s="606"/>
      <c r="V83" s="56"/>
      <c r="W83" s="56"/>
      <c r="X83" s="56"/>
    </row>
    <row r="84" spans="3:24">
      <c r="C84" s="43"/>
      <c r="D84" s="43"/>
      <c r="E84" s="43"/>
      <c r="F84" s="43"/>
      <c r="G84" s="43"/>
      <c r="H84" s="43"/>
      <c r="I84" s="43"/>
      <c r="J84" s="43"/>
      <c r="K84" s="43"/>
      <c r="L84" s="43"/>
      <c r="M84" s="43"/>
      <c r="N84" s="43"/>
      <c r="O84" s="43"/>
      <c r="Q84" s="43"/>
      <c r="R84" s="606"/>
      <c r="U84" s="606"/>
      <c r="V84" s="56"/>
      <c r="W84" s="56"/>
      <c r="X84" s="56"/>
    </row>
    <row r="85" spans="3:24">
      <c r="C85" s="43"/>
      <c r="D85" s="43"/>
      <c r="E85" s="43"/>
      <c r="F85" s="43"/>
      <c r="G85" s="43"/>
      <c r="H85" s="43"/>
      <c r="I85" s="43"/>
      <c r="J85" s="43"/>
      <c r="K85" s="43"/>
      <c r="L85" s="43"/>
      <c r="M85" s="43"/>
      <c r="N85" s="43"/>
      <c r="O85" s="43"/>
      <c r="Q85" s="43"/>
      <c r="R85" s="606"/>
      <c r="U85" s="606"/>
      <c r="V85" s="56"/>
      <c r="W85" s="56"/>
      <c r="X85" s="56"/>
    </row>
    <row r="86" spans="3:24">
      <c r="C86" s="43"/>
      <c r="D86" s="43"/>
      <c r="E86" s="43"/>
      <c r="F86" s="43"/>
      <c r="G86" s="43"/>
      <c r="H86" s="43"/>
      <c r="I86" s="43"/>
      <c r="J86" s="43"/>
      <c r="K86" s="43"/>
      <c r="L86" s="43"/>
      <c r="M86" s="43"/>
      <c r="N86" s="43"/>
      <c r="O86" s="43"/>
      <c r="Q86" s="43"/>
      <c r="R86" s="606"/>
      <c r="U86" s="606"/>
      <c r="V86" s="56"/>
      <c r="W86" s="56"/>
      <c r="X86" s="56"/>
    </row>
    <row r="87" spans="3:24">
      <c r="C87" s="43"/>
      <c r="D87" s="43"/>
      <c r="E87" s="43"/>
      <c r="F87" s="43"/>
      <c r="G87" s="43"/>
      <c r="H87" s="43"/>
      <c r="I87" s="43"/>
      <c r="J87" s="43"/>
      <c r="K87" s="43"/>
      <c r="L87" s="43"/>
      <c r="M87" s="43"/>
      <c r="N87" s="43"/>
      <c r="O87" s="43"/>
      <c r="Q87" s="43"/>
      <c r="R87" s="606"/>
      <c r="U87" s="606"/>
      <c r="V87" s="56"/>
      <c r="W87" s="56"/>
      <c r="X87" s="56"/>
    </row>
    <row r="88" spans="3:24">
      <c r="C88" s="43"/>
      <c r="D88" s="43"/>
      <c r="E88" s="43"/>
      <c r="F88" s="43"/>
      <c r="G88" s="43"/>
      <c r="H88" s="43"/>
      <c r="I88" s="43"/>
      <c r="J88" s="43"/>
      <c r="K88" s="43"/>
      <c r="L88" s="43"/>
      <c r="M88" s="43"/>
      <c r="N88" s="43"/>
      <c r="O88" s="43"/>
      <c r="Q88" s="43"/>
      <c r="R88" s="606"/>
      <c r="U88" s="606"/>
      <c r="V88" s="56"/>
      <c r="W88" s="56"/>
      <c r="X88" s="56"/>
    </row>
    <row r="89" spans="3:24">
      <c r="C89" s="43"/>
      <c r="D89" s="43"/>
      <c r="E89" s="43"/>
      <c r="F89" s="43"/>
      <c r="G89" s="43"/>
      <c r="H89" s="43"/>
      <c r="I89" s="43"/>
      <c r="J89" s="43"/>
      <c r="K89" s="43"/>
      <c r="L89" s="43"/>
      <c r="M89" s="43"/>
      <c r="N89" s="43"/>
      <c r="O89" s="43"/>
      <c r="Q89" s="43"/>
      <c r="R89" s="606"/>
      <c r="U89" s="606"/>
      <c r="W89" s="56"/>
    </row>
    <row r="90" spans="3:24">
      <c r="C90" s="43"/>
      <c r="D90" s="43"/>
      <c r="E90" s="43"/>
      <c r="F90" s="43"/>
      <c r="G90" s="43"/>
      <c r="H90" s="43"/>
      <c r="I90" s="43"/>
      <c r="J90" s="43"/>
      <c r="K90" s="43"/>
      <c r="L90" s="43"/>
      <c r="M90" s="43"/>
      <c r="N90" s="43"/>
      <c r="O90" s="43"/>
      <c r="Q90" s="43"/>
      <c r="R90" s="606"/>
      <c r="U90" s="606"/>
      <c r="W90" s="56"/>
    </row>
  </sheetData>
  <mergeCells count="1">
    <mergeCell ref="B24:M24"/>
  </mergeCells>
  <hyperlinks>
    <hyperlink ref="B3" location="'Corporate governance'!B8" display="'Corporate governance'!B8"/>
    <hyperlink ref="B4" location="'Corporate governance'!B26" display="'Corporate governance'!B26"/>
    <hyperlink ref="C3" location="'Corporate governance'!B43" display="'Corporate governance'!B43"/>
    <hyperlink ref="B75" r:id="rId1" display="https://www.novatek.ru/en/development/archive/"/>
    <hyperlink ref="H3" location="'Corporate governance'!B71" display="'Corporate governance'!B71"/>
    <hyperlink ref="E4" location="'Corporate governance'!B57" display="'Corporate governance'!B57"/>
    <hyperlink ref="E3" location="'Corporate governance'!B51" display="'Corporate governance'!B51"/>
    <hyperlink ref="B1" location="Contents!A1" display="← Back to Contents"/>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G360"/>
  <sheetViews>
    <sheetView zoomScale="60" zoomScaleNormal="60" workbookViewId="0">
      <pane xSplit="1" ySplit="7" topLeftCell="B8" activePane="bottomRight" state="frozen"/>
      <selection pane="topRight" activeCell="C1" sqref="C1"/>
      <selection pane="bottomLeft" activeCell="A8" sqref="A8"/>
      <selection pane="bottomRight" activeCell="D117" sqref="D117"/>
    </sheetView>
  </sheetViews>
  <sheetFormatPr defaultColWidth="13.140625" defaultRowHeight="18.75"/>
  <cols>
    <col min="1" max="1" width="13.140625" style="14" customWidth="1"/>
    <col min="2" max="2" width="107.85546875" style="14" customWidth="1"/>
    <col min="3" max="3" width="20.42578125" style="15" customWidth="1"/>
    <col min="4" max="7" width="20.42578125" style="37" customWidth="1"/>
    <col min="8" max="8" width="13.140625" style="16" customWidth="1"/>
    <col min="9" max="9" width="20.42578125" style="589" customWidth="1"/>
    <col min="10" max="10" width="5.42578125" style="589" customWidth="1"/>
    <col min="11" max="11" width="15.42578125" style="589" customWidth="1"/>
    <col min="12" max="12" width="5.42578125" style="589" customWidth="1"/>
    <col min="13" max="238" width="9.140625" style="14" customWidth="1"/>
    <col min="239" max="239" width="13.42578125" style="14" customWidth="1"/>
    <col min="240" max="240" width="91" style="14" customWidth="1"/>
    <col min="241" max="16384" width="13.140625" style="14"/>
  </cols>
  <sheetData>
    <row r="1" spans="1:241" ht="89.1" customHeight="1">
      <c r="B1" s="487" t="s">
        <v>168</v>
      </c>
    </row>
    <row r="2" spans="1:241">
      <c r="A2" s="43"/>
      <c r="B2" s="18" t="str">
        <f>IF(Contents!$B$2=2,"CONTENTS","СОДЕРЖАНИЕ")</f>
        <v>CONTENTS</v>
      </c>
      <c r="C2" s="44"/>
      <c r="D2" s="773"/>
      <c r="E2" s="719"/>
      <c r="F2" s="719"/>
      <c r="G2" s="719"/>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row>
    <row r="3" spans="1:241" ht="36" customHeight="1">
      <c r="A3" s="17"/>
      <c r="B3" s="575" t="str">
        <f>IF(Contents!$B$2=2,"Environmental indicators","Экологические показатели")</f>
        <v>Environmental indicators</v>
      </c>
      <c r="C3" s="575" t="str">
        <f>IF(Contents!$B$2=2,"Management indicators","Управленческие показатели")</f>
        <v>Management indicators</v>
      </c>
      <c r="D3" s="772"/>
      <c r="E3" s="772"/>
      <c r="F3" s="945" t="str">
        <f>IF(Contents!$B$2=2,"Indicators demonstrating the organisation’s contribution to the social welfare and strategic development of the Russian Federation ","Показатели, отражающие участие организации в повышении благосостояния общества и стратегическом развитии Российской Федерации")</f>
        <v xml:space="preserve">Indicators demonstrating the organisation’s contribution to the social welfare and strategic development of the Russian Federation </v>
      </c>
      <c r="G3" s="945"/>
      <c r="H3" s="507"/>
    </row>
    <row r="4" spans="1:241" ht="39.6" customHeight="1">
      <c r="A4" s="17"/>
      <c r="B4" s="575" t="str">
        <f>IF(Contents!$B$2=2,"Social indicators","Социальные показатели")</f>
        <v>Social indicators</v>
      </c>
      <c r="C4" s="575" t="str">
        <f>IF(Contents!$B$2=2,"Economic indicators","Экономические показатели")</f>
        <v>Economic indicators</v>
      </c>
      <c r="D4" s="584"/>
      <c r="E4" s="584"/>
      <c r="F4" s="945"/>
      <c r="G4" s="945"/>
      <c r="H4" s="507"/>
      <c r="I4" s="39"/>
      <c r="K4" s="39"/>
    </row>
    <row r="5" spans="1:241">
      <c r="A5" s="17"/>
      <c r="B5" s="584"/>
      <c r="C5" s="584"/>
      <c r="D5" s="584"/>
      <c r="E5" s="584"/>
      <c r="F5" s="584"/>
      <c r="G5" s="584"/>
      <c r="H5" s="507"/>
      <c r="I5" s="39"/>
      <c r="K5" s="39"/>
    </row>
    <row r="6" spans="1:241" ht="20.25">
      <c r="B6" s="674" t="str">
        <f>IF(Contents!$B$2=2,"Table of Accounting of the Public Business Capital Standard","Таблица учета Стандарта общественного капитала бизнеса")</f>
        <v>Table of Accounting of the Public Business Capital Standard</v>
      </c>
      <c r="C6" s="771"/>
      <c r="D6" s="770"/>
      <c r="E6" s="770"/>
      <c r="F6" s="770"/>
      <c r="G6" s="770"/>
      <c r="H6" s="35"/>
      <c r="I6" s="769"/>
      <c r="K6" s="769"/>
    </row>
    <row r="7" spans="1:241" ht="38.25">
      <c r="B7" s="47"/>
      <c r="C7" s="19"/>
      <c r="D7" s="21">
        <v>2022</v>
      </c>
      <c r="E7" s="20">
        <v>2023</v>
      </c>
      <c r="F7" s="20">
        <v>2024</v>
      </c>
      <c r="G7" s="20">
        <v>2025</v>
      </c>
      <c r="H7" s="36"/>
      <c r="I7" s="602" t="str">
        <f>IF(Contents!$B$2=2,"Indices of the Public Business Capital Standard","Индексы Стандарта общественного капитала бизнеса")</f>
        <v>Indices of the Public Business Capital Standard</v>
      </c>
      <c r="J7" s="504"/>
      <c r="K7" s="586" t="str">
        <f>IF(Contents!$B$2=2,"Report scope","Границы отчетности")</f>
        <v>Report scope</v>
      </c>
      <c r="L7" s="504"/>
    </row>
    <row r="8" spans="1:241">
      <c r="B8" s="45" t="str">
        <f>IF(Contents!$B$2=2,"Environmental indicators","Экологические показатели")</f>
        <v>Environmental indicators</v>
      </c>
      <c r="C8" s="45"/>
      <c r="D8" s="719"/>
      <c r="E8" s="719"/>
      <c r="F8" s="719"/>
      <c r="G8" s="719"/>
      <c r="H8" s="40"/>
      <c r="I8" s="39"/>
      <c r="K8" s="558"/>
    </row>
    <row r="9" spans="1:241">
      <c r="B9" s="48" t="str">
        <f>IF(Contents!$B$2=2,"Water use and discharge","Водопользование и водоотведение")</f>
        <v>Water use and discharge</v>
      </c>
      <c r="C9" s="49"/>
      <c r="D9" s="50"/>
      <c r="E9" s="50"/>
      <c r="F9" s="51"/>
      <c r="G9" s="51"/>
      <c r="H9" s="29"/>
      <c r="I9" s="39"/>
      <c r="K9" s="766"/>
      <c r="M9" s="22"/>
    </row>
    <row r="10" spans="1:241" ht="18">
      <c r="A10" s="756"/>
      <c r="B10" s="52" t="str">
        <f>IF(Contents!$B$2=2,"Total water withdrawal","Общий объем забираемой воды")</f>
        <v>Total water withdrawal</v>
      </c>
      <c r="C10" s="53" t="str">
        <f>IF(Contents!$B$2=2,"th. cubic meters","тыс. куб. м")</f>
        <v>th. cubic meters</v>
      </c>
      <c r="D10" s="147">
        <v>2923</v>
      </c>
      <c r="E10" s="147">
        <v>4327</v>
      </c>
      <c r="F10" s="147">
        <v>4224</v>
      </c>
      <c r="G10" s="895">
        <v>2165</v>
      </c>
      <c r="H10" s="55"/>
      <c r="I10" s="56" t="str">
        <f>IF(Contents!$B$2=2,"PBCS 1","СОКБ 1")</f>
        <v>PBCS 1</v>
      </c>
      <c r="J10" s="56"/>
      <c r="K10" s="277">
        <v>2</v>
      </c>
      <c r="L10" s="277"/>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row>
    <row r="11" spans="1:241" ht="36">
      <c r="A11" s="756"/>
      <c r="B11" s="52" t="str">
        <f>IF(Contents!$B$2=2,"Volume of own water consumption from all water supply sources, excluding water supply to external consumers without its use","Объем собственного потребления воды из всех источников водоснабжения, без учета отпуска воды внешним потребителям без ее использования")</f>
        <v>Volume of own water consumption from all water supply sources, excluding water supply to external consumers without its use</v>
      </c>
      <c r="C11" s="53" t="str">
        <f>IF(Contents!$B$2=2,"th. cubic meters","тыс. куб. м")</f>
        <v>th. cubic meters</v>
      </c>
      <c r="D11" s="147">
        <v>414</v>
      </c>
      <c r="E11" s="147">
        <v>1808</v>
      </c>
      <c r="F11" s="147">
        <v>1640</v>
      </c>
      <c r="G11" s="895">
        <v>215</v>
      </c>
      <c r="H11" s="55"/>
      <c r="I11" s="56" t="str">
        <f>IF(Contents!$B$2=2,"PBCS 2","СОКБ 2")</f>
        <v>PBCS 2</v>
      </c>
      <c r="J11" s="56"/>
      <c r="K11" s="277">
        <v>2</v>
      </c>
      <c r="L11" s="277"/>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row>
    <row r="12" spans="1:241" ht="36">
      <c r="A12" s="756"/>
      <c r="B12" s="52" t="str">
        <f>IF(Contents!$B$2=2,"Percentage of recycled and reused water in total own water consumption from all sources","Доля оборотного и повторно-последовательного водоснабжения в общем объеме собственного потребления воды из всех источников")</f>
        <v>Percentage of recycled and reused water in total own water consumption from all sources</v>
      </c>
      <c r="C12" s="53" t="s">
        <v>0</v>
      </c>
      <c r="D12" s="482" t="s">
        <v>185</v>
      </c>
      <c r="E12" s="482" t="s">
        <v>185</v>
      </c>
      <c r="F12" s="482" t="s">
        <v>185</v>
      </c>
      <c r="G12" s="895">
        <v>16</v>
      </c>
      <c r="H12" s="55"/>
      <c r="I12" s="56" t="str">
        <f>IF(Contents!$B$2=2,"PBCS 3","СОКБ 3")</f>
        <v>PBCS 3</v>
      </c>
      <c r="J12" s="56"/>
      <c r="K12" s="277">
        <v>2</v>
      </c>
      <c r="L12" s="277"/>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row>
    <row r="13" spans="1:241" ht="54">
      <c r="A13" s="756"/>
      <c r="B13" s="52" t="str">
        <f>IF(Contents!$B$2=2,"Volume of polluted wastewater discharges into water bodies (polluted, normatively clean, normatively treated) and/or transferred polluted wastewater for treatment to other enterprises","Объем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f>
        <v>Volume of polluted wastewater discharges into water bodies (polluted, normatively clean, normatively treated) and/or transferred polluted wastewater for treatment to other enterprises</v>
      </c>
      <c r="C13" s="53" t="str">
        <f>IF(Contents!$B$2=2,"th. cubic meters","тыс. куб. м")</f>
        <v>th. cubic meters</v>
      </c>
      <c r="D13" s="147">
        <v>0</v>
      </c>
      <c r="E13" s="147">
        <v>0</v>
      </c>
      <c r="F13" s="147">
        <v>0</v>
      </c>
      <c r="G13" s="895">
        <v>0</v>
      </c>
      <c r="H13" s="55"/>
      <c r="I13" s="56" t="str">
        <f>IF(Contents!$B$2=2,"PBCS 4","СОКБ 4")</f>
        <v>PBCS 4</v>
      </c>
      <c r="J13" s="56"/>
      <c r="K13" s="277">
        <v>2</v>
      </c>
      <c r="L13" s="56"/>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row>
    <row r="14" spans="1:241" ht="18">
      <c r="A14" s="756"/>
      <c r="B14" s="57"/>
      <c r="C14" s="12"/>
      <c r="D14" s="10"/>
      <c r="E14" s="10"/>
      <c r="F14" s="10"/>
      <c r="G14" s="10"/>
      <c r="H14" s="59"/>
      <c r="I14" s="60"/>
      <c r="J14" s="56"/>
      <c r="K14" s="56"/>
      <c r="L14" s="56"/>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row>
    <row r="15" spans="1:241">
      <c r="B15" s="768" t="str">
        <f>IF(Contents!$B$2=2,"Waste generation and movement","Образование и движение отходов")</f>
        <v>Waste generation and movement</v>
      </c>
      <c r="C15" s="767"/>
      <c r="D15" s="663"/>
      <c r="E15" s="663"/>
      <c r="F15" s="663"/>
      <c r="G15" s="663"/>
      <c r="H15" s="29"/>
      <c r="I15" s="39"/>
      <c r="K15" s="766"/>
      <c r="M15" s="22"/>
    </row>
    <row r="16" spans="1:241" ht="18">
      <c r="A16" s="756"/>
      <c r="B16" s="52" t="str">
        <f>IF(Contents!$B$2=2,"Waste generation","Образование отходов")</f>
        <v>Waste generation</v>
      </c>
      <c r="C16" s="12" t="str">
        <f>IF(Contents!$B$2=2,"th. tons","тыс. т")</f>
        <v>th. tons</v>
      </c>
      <c r="D16" s="67">
        <v>91.034000000000006</v>
      </c>
      <c r="E16" s="67">
        <v>72.161999999999992</v>
      </c>
      <c r="F16" s="67">
        <v>117.65400000000001</v>
      </c>
      <c r="G16" s="894">
        <v>110.33499999999999</v>
      </c>
      <c r="H16" s="55"/>
      <c r="I16" s="56" t="str">
        <f>IF(Contents!$B$2=2,"PBCS 5","СОКБ 5")</f>
        <v>PBCS 5</v>
      </c>
      <c r="J16" s="55"/>
      <c r="K16" s="277">
        <v>2</v>
      </c>
      <c r="L16" s="277"/>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row>
    <row r="17" spans="1:241">
      <c r="A17" s="756"/>
      <c r="B17" s="23" t="str">
        <f>IF(Contents!$B$2=2,"by environmental impact","по степени воздействия на окружающую среду")</f>
        <v>by environmental impact</v>
      </c>
      <c r="C17" s="13"/>
      <c r="D17" s="69"/>
      <c r="E17" s="69"/>
      <c r="F17" s="69"/>
      <c r="G17" s="69"/>
      <c r="H17" s="56"/>
      <c r="I17" s="606"/>
      <c r="J17" s="56"/>
      <c r="K17" s="56"/>
      <c r="L17" s="56"/>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row>
    <row r="18" spans="1:241" ht="18">
      <c r="A18" s="756"/>
      <c r="B18" s="41" t="str">
        <f>IF(Contents!$B$2=2,"Hazard class I","I класс опасности")</f>
        <v>Hazard class I</v>
      </c>
      <c r="C18" s="12" t="str">
        <f>IF(Contents!$B$2=2,"th. tons","тыс. т")</f>
        <v>th. tons</v>
      </c>
      <c r="D18" s="765">
        <v>4.0000000000000001E-3</v>
      </c>
      <c r="E18" s="765">
        <v>2E-3</v>
      </c>
      <c r="F18" s="765">
        <v>4.0000000000000001E-3</v>
      </c>
      <c r="G18" s="896">
        <v>2E-3</v>
      </c>
      <c r="H18" s="71"/>
      <c r="I18" s="56" t="str">
        <f>IF(Contents!$B$2=2,"PBCS 5","СОКБ 5")</f>
        <v>PBCS 5</v>
      </c>
      <c r="J18" s="71"/>
      <c r="K18" s="277">
        <v>2</v>
      </c>
      <c r="L18" s="308"/>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row>
    <row r="19" spans="1:241" ht="18">
      <c r="A19" s="756"/>
      <c r="B19" s="41" t="str">
        <f>IF(Contents!$B$2=2,"Hazard class II","II класс опасности")</f>
        <v>Hazard class II</v>
      </c>
      <c r="C19" s="12" t="str">
        <f>IF(Contents!$B$2=2,"th. tons","тыс. т")</f>
        <v>th. tons</v>
      </c>
      <c r="D19" s="764">
        <v>0.03</v>
      </c>
      <c r="E19" s="764">
        <v>0.06</v>
      </c>
      <c r="F19" s="764">
        <v>0.15</v>
      </c>
      <c r="G19" s="680">
        <v>0.126</v>
      </c>
      <c r="H19" s="55"/>
      <c r="I19" s="56" t="str">
        <f>IF(Contents!$B$2=2,"PBCS 5","СОКБ 5")</f>
        <v>PBCS 5</v>
      </c>
      <c r="J19" s="55"/>
      <c r="K19" s="277">
        <v>2</v>
      </c>
      <c r="L19" s="55"/>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row>
    <row r="20" spans="1:241" ht="18">
      <c r="A20" s="756"/>
      <c r="B20" s="41" t="str">
        <f>IF(Contents!$B$2=2,"Hazard class III","III класс опасности")</f>
        <v>Hazard class III</v>
      </c>
      <c r="C20" s="12" t="str">
        <f>IF(Contents!$B$2=2,"th. tons","тыс. т")</f>
        <v>th. tons</v>
      </c>
      <c r="D20" s="72">
        <v>2</v>
      </c>
      <c r="E20" s="72">
        <v>2.7</v>
      </c>
      <c r="F20" s="72">
        <v>23.6</v>
      </c>
      <c r="G20" s="897">
        <v>23.344999999999999</v>
      </c>
      <c r="H20" s="55"/>
      <c r="I20" s="56" t="str">
        <f>IF(Contents!$B$2=2,"PBCS 5","СОКБ 5")</f>
        <v>PBCS 5</v>
      </c>
      <c r="J20" s="55"/>
      <c r="K20" s="277">
        <v>2</v>
      </c>
      <c r="L20" s="55"/>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row>
    <row r="21" spans="1:241" ht="18">
      <c r="A21" s="756"/>
      <c r="B21" s="41" t="str">
        <f>IF(Contents!$B$2=2,"Hazard class IV","IV класс опасности")</f>
        <v>Hazard class IV</v>
      </c>
      <c r="C21" s="12" t="str">
        <f>IF(Contents!$B$2=2,"th. tons","тыс. т")</f>
        <v>th. tons</v>
      </c>
      <c r="D21" s="72">
        <v>85.2</v>
      </c>
      <c r="E21" s="72">
        <v>65.3</v>
      </c>
      <c r="F21" s="72">
        <v>87.7</v>
      </c>
      <c r="G21" s="897">
        <v>81.453999999999994</v>
      </c>
      <c r="H21" s="55"/>
      <c r="I21" s="56" t="str">
        <f>IF(Contents!$B$2=2,"PBCS 5","СОКБ 5")</f>
        <v>PBCS 5</v>
      </c>
      <c r="J21" s="55"/>
      <c r="K21" s="277">
        <v>2</v>
      </c>
      <c r="L21" s="55"/>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row>
    <row r="22" spans="1:241" ht="18">
      <c r="A22" s="756"/>
      <c r="B22" s="41" t="str">
        <f>IF(Contents!$B$2=2,"Hazard class V","V класс опасности")</f>
        <v>Hazard class V</v>
      </c>
      <c r="C22" s="12" t="str">
        <f>IF(Contents!$B$2=2,"th. tons","тыс. т")</f>
        <v>th. tons</v>
      </c>
      <c r="D22" s="72">
        <v>3.8</v>
      </c>
      <c r="E22" s="72">
        <v>4.0999999999999996</v>
      </c>
      <c r="F22" s="72">
        <v>6.2</v>
      </c>
      <c r="G22" s="897">
        <v>5.4080000000000004</v>
      </c>
      <c r="H22" s="55"/>
      <c r="I22" s="56" t="str">
        <f>IF(Contents!$B$2=2,"PBCS 5","СОКБ 5")</f>
        <v>PBCS 5</v>
      </c>
      <c r="J22" s="55"/>
      <c r="K22" s="277">
        <v>2</v>
      </c>
      <c r="L22" s="55"/>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row>
    <row r="23" spans="1:241" ht="18">
      <c r="A23" s="756"/>
      <c r="B23" s="52" t="str">
        <f>IF(Contents!$B$2=2,"Waste movement","Движение отходов")</f>
        <v>Waste movement</v>
      </c>
      <c r="C23" s="12"/>
      <c r="D23" s="54"/>
      <c r="E23" s="54"/>
      <c r="F23" s="54"/>
      <c r="G23" s="54"/>
      <c r="H23" s="55"/>
      <c r="I23" s="55"/>
      <c r="J23" s="55"/>
      <c r="K23" s="55"/>
      <c r="L23" s="55"/>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row>
    <row r="24" spans="1:241">
      <c r="A24" s="756"/>
      <c r="B24" s="23" t="str">
        <f>IF(Contents!$B$2=2,"by direction","по направлениям")</f>
        <v>by direction</v>
      </c>
      <c r="C24" s="13"/>
      <c r="D24" s="73"/>
      <c r="E24" s="73"/>
      <c r="F24" s="73"/>
      <c r="G24" s="73"/>
      <c r="H24" s="56"/>
      <c r="I24" s="56"/>
      <c r="J24" s="56"/>
      <c r="K24" s="56"/>
      <c r="L24" s="56"/>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row>
    <row r="25" spans="1:241" ht="18">
      <c r="A25" s="756"/>
      <c r="B25" s="41" t="str">
        <f>IF(Contents!$B$2=2,"Reused","Повторно использовано")</f>
        <v>Reused</v>
      </c>
      <c r="C25" s="12" t="str">
        <f>IF(Contents!$B$2=2,"th. tons","тыс. т")</f>
        <v>th. tons</v>
      </c>
      <c r="D25" s="67">
        <v>0</v>
      </c>
      <c r="E25" s="67">
        <v>0</v>
      </c>
      <c r="F25" s="67">
        <v>0</v>
      </c>
      <c r="G25" s="894">
        <v>0</v>
      </c>
      <c r="H25" s="71"/>
      <c r="I25" s="56" t="str">
        <f>IF(Contents!$B$2=2,"PBCS 6","СОКБ 6")</f>
        <v>PBCS 6</v>
      </c>
      <c r="J25" s="71"/>
      <c r="K25" s="277">
        <v>2</v>
      </c>
      <c r="L25" s="308"/>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row>
    <row r="26" spans="1:241" ht="18">
      <c r="A26" s="756"/>
      <c r="B26" s="41" t="str">
        <f>IF(Contents!$B$2=2,"Processed (recycled)","Утилизировано (переработано)")</f>
        <v>Processed (recycled)</v>
      </c>
      <c r="C26" s="12" t="str">
        <f>IF(Contents!$B$2=2,"th. tons","тыс. т")</f>
        <v>th. tons</v>
      </c>
      <c r="D26" s="67">
        <v>85.9</v>
      </c>
      <c r="E26" s="67">
        <v>58.7</v>
      </c>
      <c r="F26" s="67">
        <v>86.7</v>
      </c>
      <c r="G26" s="894">
        <v>76.2</v>
      </c>
      <c r="H26" s="55"/>
      <c r="I26" s="56" t="str">
        <f>IF(Contents!$B$2=2,"PBCS 6","СОКБ 6")</f>
        <v>PBCS 6</v>
      </c>
      <c r="J26" s="55"/>
      <c r="K26" s="277">
        <v>2</v>
      </c>
      <c r="L26" s="55"/>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row>
    <row r="27" spans="1:241" ht="18">
      <c r="A27" s="756"/>
      <c r="B27" s="41" t="str">
        <f>IF(Contents!$B$2=2,"Decontaminated","Обезврежено")</f>
        <v>Decontaminated</v>
      </c>
      <c r="C27" s="12" t="str">
        <f>IF(Contents!$B$2=2,"th. tons","тыс. т")</f>
        <v>th. tons</v>
      </c>
      <c r="D27" s="67">
        <v>7.8</v>
      </c>
      <c r="E27" s="67">
        <v>8.4</v>
      </c>
      <c r="F27" s="67">
        <v>29.1</v>
      </c>
      <c r="G27" s="894">
        <v>26.9</v>
      </c>
      <c r="H27" s="55"/>
      <c r="I27" s="56" t="str">
        <f>IF(Contents!$B$2=2,"PBCS 6","СОКБ 6")</f>
        <v>PBCS 6</v>
      </c>
      <c r="J27" s="55"/>
      <c r="K27" s="277">
        <v>2</v>
      </c>
      <c r="L27" s="55"/>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row>
    <row r="28" spans="1:241" ht="18">
      <c r="A28" s="756"/>
      <c r="B28" s="41" t="str">
        <f>IF(Contents!$B$2=2,"Disposed","Размещено")</f>
        <v>Disposed</v>
      </c>
      <c r="C28" s="12" t="str">
        <f>IF(Contents!$B$2=2,"th. tons","тыс. т")</f>
        <v>th. tons</v>
      </c>
      <c r="D28" s="67">
        <v>1.1000000000000001</v>
      </c>
      <c r="E28" s="67">
        <v>1.7</v>
      </c>
      <c r="F28" s="67">
        <v>2</v>
      </c>
      <c r="G28" s="894">
        <v>1.3</v>
      </c>
      <c r="H28" s="55"/>
      <c r="I28" s="56" t="str">
        <f>IF(Contents!$B$2=2,"PBCS 6","СОКБ 6")</f>
        <v>PBCS 6</v>
      </c>
      <c r="J28" s="55"/>
      <c r="K28" s="277">
        <v>2</v>
      </c>
      <c r="L28" s="55"/>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row>
    <row r="29" spans="1:241" ht="18">
      <c r="A29" s="756"/>
      <c r="B29" s="41"/>
      <c r="C29" s="12"/>
      <c r="D29" s="74"/>
      <c r="E29" s="74"/>
      <c r="F29" s="74"/>
      <c r="G29" s="74"/>
      <c r="H29" s="55"/>
      <c r="I29" s="55"/>
      <c r="J29" s="55"/>
      <c r="K29" s="55"/>
      <c r="L29" s="55"/>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row>
    <row r="30" spans="1:241" ht="18">
      <c r="A30" s="756"/>
      <c r="B30" s="75" t="str">
        <f>IF(Contents!$B$2=2,"Emissions of pollutants","Выбросы загрязняющих веществ")</f>
        <v>Emissions of pollutants</v>
      </c>
      <c r="C30" s="42"/>
      <c r="D30" s="763"/>
      <c r="E30" s="763"/>
      <c r="F30" s="763"/>
      <c r="G30" s="763"/>
      <c r="H30" s="64"/>
      <c r="I30" s="56"/>
      <c r="J30" s="56"/>
      <c r="K30" s="277"/>
      <c r="L30" s="277"/>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row>
    <row r="31" spans="1:241" ht="18">
      <c r="A31" s="756"/>
      <c r="B31" s="52" t="str">
        <f>IF(Contents!$B$2=2,"Air pollutant emissions from stationary sources","Масса выбросов загрязняющих веществ в атмосферный воздух от стационарных источников")</f>
        <v>Air pollutant emissions from stationary sources</v>
      </c>
      <c r="C31" s="12" t="str">
        <f>IF(Contents!$B$2=2,"th. tons","тыс. т")</f>
        <v>th. tons</v>
      </c>
      <c r="D31" s="67">
        <v>70.8</v>
      </c>
      <c r="E31" s="67">
        <v>65.8</v>
      </c>
      <c r="F31" s="67">
        <v>56</v>
      </c>
      <c r="G31" s="894">
        <v>80.327621187118595</v>
      </c>
      <c r="H31" s="55"/>
      <c r="I31" s="56" t="str">
        <f>IF(Contents!$B$2=2,"PBCS 7","СОКБ 7")</f>
        <v>PBCS 7</v>
      </c>
      <c r="J31" s="55"/>
      <c r="K31" s="277">
        <v>2</v>
      </c>
      <c r="L31" s="277"/>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row>
    <row r="32" spans="1:241" ht="18">
      <c r="A32" s="756"/>
      <c r="B32" s="11"/>
      <c r="C32" s="76"/>
      <c r="D32" s="545"/>
      <c r="E32" s="545"/>
      <c r="F32" s="545"/>
      <c r="G32" s="545"/>
      <c r="H32" s="59"/>
      <c r="I32" s="60"/>
      <c r="J32" s="297"/>
      <c r="K32" s="297"/>
      <c r="L32" s="29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row>
    <row r="33" spans="1:13">
      <c r="A33" s="756"/>
      <c r="B33" s="48" t="str">
        <f>IF(Contents!$B$2=2,"Greenhouse gas emissions","Выбросы парниковых газов")</f>
        <v>Greenhouse gas emissions</v>
      </c>
      <c r="C33" s="49" t="str">
        <f>IF(Contents!$B$2=2,"th. tons of CO₂ eq.","тыс. т CO₂-экв.")</f>
        <v>th. tons of CO₂ eq.</v>
      </c>
      <c r="D33" s="762">
        <v>9589.8000000000011</v>
      </c>
      <c r="E33" s="762">
        <v>9655.6999999999989</v>
      </c>
      <c r="F33" s="762">
        <v>9750</v>
      </c>
      <c r="G33" s="762">
        <v>9822.35</v>
      </c>
      <c r="H33" s="394"/>
      <c r="I33" s="56" t="str">
        <f>IF(Contents!$B$2=2,"PBCS 8","СОКБ 8")</f>
        <v>PBCS 8</v>
      </c>
      <c r="K33" s="277">
        <v>2</v>
      </c>
      <c r="M33" s="22"/>
    </row>
    <row r="34" spans="1:13">
      <c r="A34" s="756"/>
      <c r="B34" s="23" t="str">
        <f>IF(Contents!$B$2=2,"by Scopes","по охватам")</f>
        <v>by Scopes</v>
      </c>
      <c r="C34" s="77"/>
      <c r="D34" s="77"/>
      <c r="E34" s="77"/>
      <c r="F34" s="77"/>
      <c r="G34" s="77"/>
      <c r="H34" s="29"/>
      <c r="I34" s="39"/>
      <c r="K34" s="558"/>
      <c r="M34" s="22"/>
    </row>
    <row r="35" spans="1:13">
      <c r="A35" s="756"/>
      <c r="B35" s="78" t="str">
        <f>IF(Contents!$B$2=2,"Scope 1","Область охвата 1")</f>
        <v>Scope 1</v>
      </c>
      <c r="C35" s="53" t="str">
        <f>IF(Contents!$B$2=2,"th. tons of CO₂ eq.","тыс. т CO₂-экв.")</f>
        <v>th. tons of CO₂ eq.</v>
      </c>
      <c r="D35" s="282">
        <v>9423.2000000000007</v>
      </c>
      <c r="E35" s="282">
        <v>9482.2999999999993</v>
      </c>
      <c r="F35" s="282">
        <v>9571.9</v>
      </c>
      <c r="G35" s="893">
        <v>9626.4500000000007</v>
      </c>
      <c r="H35" s="55"/>
      <c r="I35" s="56" t="str">
        <f>IF(Contents!$B$2=2,"PBCS 8","СОКБ 8")</f>
        <v>PBCS 8</v>
      </c>
      <c r="K35" s="277">
        <v>2</v>
      </c>
      <c r="M35" s="22"/>
    </row>
    <row r="36" spans="1:13">
      <c r="A36" s="140"/>
      <c r="B36" s="78" t="str">
        <f>IF(Contents!$B$2=2,"Scope 2","Область охвата 2")</f>
        <v>Scope 2</v>
      </c>
      <c r="C36" s="53" t="str">
        <f>IF(Contents!$B$2=2,"th. tons of CO₂ eq.","тыс. т CO₂-экв.")</f>
        <v>th. tons of CO₂ eq.</v>
      </c>
      <c r="D36" s="67">
        <v>166.6</v>
      </c>
      <c r="E36" s="67">
        <v>173.4</v>
      </c>
      <c r="F36" s="67">
        <v>178.1</v>
      </c>
      <c r="G36" s="894">
        <v>195.9</v>
      </c>
      <c r="H36" s="55"/>
      <c r="I36" s="56" t="str">
        <f>IF(Contents!$B$2=2,"PBCS 8","СОКБ 8")</f>
        <v>PBCS 8</v>
      </c>
      <c r="K36" s="277">
        <v>2</v>
      </c>
      <c r="M36" s="22"/>
    </row>
    <row r="37" spans="1:13">
      <c r="B37" s="78"/>
      <c r="C37" s="53"/>
      <c r="D37" s="80"/>
      <c r="E37" s="80"/>
      <c r="F37" s="80"/>
      <c r="G37" s="80"/>
      <c r="H37" s="29"/>
      <c r="I37" s="39"/>
      <c r="K37" s="558"/>
      <c r="M37" s="22"/>
    </row>
    <row r="38" spans="1:13">
      <c r="B38" s="25" t="str">
        <f>IF(Contents!$B$2=2,"Notes:","Примечания:")</f>
        <v>Notes:</v>
      </c>
      <c r="C38" s="53"/>
      <c r="D38" s="80"/>
      <c r="E38" s="80"/>
      <c r="F38" s="80"/>
      <c r="G38" s="80"/>
      <c r="H38" s="29"/>
      <c r="I38" s="39"/>
      <c r="K38" s="558"/>
      <c r="M38" s="22"/>
    </row>
    <row r="39" spans="1:13">
      <c r="B39" s="26" t="str">
        <f>IF(Contents!$B$2=2, C40, B40)</f>
        <v>Indirect greenhouse gas emissions related to energy (Scope 2) are calculated using a location-based method. This method reflects the average emissions intensity in the grids of the region from which the electricity is consumed.
The calculation was made in accordance with the ‘Concept of calculation and publication of greenhouse gas emission factors of the Russian energy system’ methodology. This methodology was developed in 2022 by NP Market Council Association and ATS and received an international validation opinion.</v>
      </c>
      <c r="C39" s="53"/>
      <c r="D39" s="83"/>
      <c r="E39" s="83"/>
      <c r="F39" s="83"/>
      <c r="G39" s="83"/>
      <c r="H39" s="29"/>
      <c r="I39" s="39"/>
      <c r="K39" s="558"/>
      <c r="M39" s="22"/>
    </row>
    <row r="40" spans="1:13">
      <c r="B40" s="113" t="s">
        <v>8</v>
      </c>
      <c r="C40" s="227" t="s">
        <v>33</v>
      </c>
      <c r="D40" s="83"/>
      <c r="E40" s="83"/>
      <c r="F40" s="83"/>
      <c r="G40" s="83"/>
      <c r="H40" s="29"/>
      <c r="I40" s="39"/>
      <c r="K40" s="558"/>
      <c r="M40" s="817"/>
    </row>
    <row r="41" spans="1:13" ht="25.5">
      <c r="B41" s="48" t="str">
        <f>IF(Contents!$B$2=2,"Product carbon footprint","Углеродный след продукции")</f>
        <v>Product carbon footprint</v>
      </c>
      <c r="C41" s="399" t="str">
        <f>IF(Contents!$B$2=2,"tons of CO₂ eq. / tons of LNG","т CO₂-экв. / т СПГ")</f>
        <v>tons of CO₂ eq. / tons of LNG</v>
      </c>
      <c r="D41" s="761"/>
      <c r="E41" s="761"/>
      <c r="F41" s="761"/>
      <c r="G41" s="761"/>
      <c r="H41" s="29"/>
      <c r="I41" s="56" t="str">
        <f>IF(Contents!$B$2=2,"PBCS 9","СОКБ 9")</f>
        <v>PBCS 9</v>
      </c>
      <c r="K41" s="277">
        <v>2</v>
      </c>
      <c r="M41" s="22"/>
    </row>
    <row r="42" spans="1:13">
      <c r="B42" s="23" t="str">
        <f>IF(Contents!$B$2=2,"by stages of the product life cycle","по этапам жизненного цикла продукции")</f>
        <v>by stages of the product life cycle</v>
      </c>
      <c r="C42" s="760"/>
      <c r="D42" s="759"/>
      <c r="E42" s="759"/>
      <c r="F42" s="759"/>
      <c r="G42" s="759"/>
      <c r="H42" s="29"/>
      <c r="I42" s="39"/>
      <c r="K42" s="558"/>
      <c r="M42" s="22"/>
    </row>
    <row r="43" spans="1:13" ht="25.5">
      <c r="B43" s="78" t="str">
        <f>IF(Contents!$B$2=2,"Production stage (Scope 1)","Этап добычи (область охвата 1)")</f>
        <v>Production stage (Scope 1)</v>
      </c>
      <c r="C43" s="388" t="str">
        <f>IF(Contents!$B$2=2,"tons of CO₂ eq. / tons of LNG","т CO₂-экв. / т СПГ")</f>
        <v>tons of CO₂ eq. / tons of LNG</v>
      </c>
      <c r="D43" s="79" t="s">
        <v>185</v>
      </c>
      <c r="E43" s="79" t="s">
        <v>185</v>
      </c>
      <c r="F43" s="79">
        <v>17.899999999999999</v>
      </c>
      <c r="G43" s="923">
        <v>32</v>
      </c>
      <c r="H43" s="29"/>
      <c r="I43" s="56" t="str">
        <f>IF(Contents!$B$2=2,"PBCS 9","СОКБ 9")</f>
        <v>PBCS 9</v>
      </c>
      <c r="K43" s="277">
        <v>2</v>
      </c>
      <c r="M43" s="22"/>
    </row>
    <row r="44" spans="1:13" ht="25.5">
      <c r="B44" s="78" t="str">
        <f>IF(Contents!$B$2=2,"Collection and transport stage (Scope 1)","Этап сбора и транспортировки (область охвата 1)")</f>
        <v>Collection and transport stage (Scope 1)</v>
      </c>
      <c r="C44" s="388" t="str">
        <f>IF(Contents!$B$2=2,"tons of CO₂ eq. / tons of LNG","т CO₂-экв. / т СПГ")</f>
        <v>tons of CO₂ eq. / tons of LNG</v>
      </c>
      <c r="D44" s="79" t="s">
        <v>185</v>
      </c>
      <c r="E44" s="79" t="s">
        <v>185</v>
      </c>
      <c r="F44" s="79">
        <v>0.4</v>
      </c>
      <c r="G44" s="923">
        <v>0.9</v>
      </c>
      <c r="H44" s="29"/>
      <c r="I44" s="56" t="str">
        <f>IF(Contents!$B$2=2,"PBCS 9","СОКБ 9")</f>
        <v>PBCS 9</v>
      </c>
      <c r="K44" s="277">
        <v>2</v>
      </c>
      <c r="M44" s="22"/>
    </row>
    <row r="45" spans="1:13" ht="25.5">
      <c r="B45" s="78" t="str">
        <f>IF(Contents!$B$2=2,"Liquefaction, storage and loading stage (Scope 1)","Этап сжижения, хранения и погрузки (область охвата 1)")</f>
        <v>Liquefaction, storage and loading stage (Scope 1)</v>
      </c>
      <c r="C45" s="388" t="str">
        <f>IF(Contents!$B$2=2,"tons of CO₂ eq. / tons of LNG","т CO₂-экв. / т СПГ")</f>
        <v>tons of CO₂ eq. / tons of LNG</v>
      </c>
      <c r="D45" s="79" t="s">
        <v>185</v>
      </c>
      <c r="E45" s="79" t="s">
        <v>185</v>
      </c>
      <c r="F45" s="79">
        <v>223.9</v>
      </c>
      <c r="G45" s="923">
        <v>240</v>
      </c>
      <c r="H45" s="29"/>
      <c r="I45" s="56" t="str">
        <f>IF(Contents!$B$2=2,"PBCS 9","СОКБ 9")</f>
        <v>PBCS 9</v>
      </c>
      <c r="K45" s="277">
        <v>2</v>
      </c>
      <c r="M45" s="22"/>
    </row>
    <row r="46" spans="1:13">
      <c r="B46" s="78"/>
      <c r="C46" s="388"/>
      <c r="D46" s="79"/>
      <c r="E46" s="79"/>
      <c r="F46" s="79"/>
      <c r="G46" s="79"/>
      <c r="H46" s="29"/>
      <c r="I46" s="39"/>
      <c r="K46" s="558"/>
      <c r="M46" s="22"/>
    </row>
    <row r="47" spans="1:13">
      <c r="B47" s="25" t="str">
        <f>IF(Contents!$B$2=2,"Notes:","Примечания:")</f>
        <v>Notes:</v>
      </c>
      <c r="C47" s="53"/>
      <c r="D47" s="79"/>
      <c r="E47" s="79"/>
      <c r="F47" s="79"/>
      <c r="G47" s="79"/>
      <c r="H47" s="29"/>
      <c r="I47" s="39"/>
      <c r="K47" s="558"/>
      <c r="M47" s="22"/>
    </row>
    <row r="48" spans="1:13">
      <c r="B48" s="26" t="str">
        <f>IF(Contents!$B$2=2,"Product carbon footprint values are given for LNG produced at the Yamal LNG project.","Значения углеродного следа продукции приведены для СПГ, произведенного на проекте Ямал СПГ.")</f>
        <v>Product carbon footprint values are given for LNG produced at the Yamal LNG project.</v>
      </c>
      <c r="C48" s="53"/>
      <c r="D48" s="79"/>
      <c r="E48" s="79"/>
      <c r="F48" s="79"/>
      <c r="G48" s="79"/>
      <c r="H48" s="29"/>
      <c r="I48" s="39"/>
      <c r="K48" s="558"/>
      <c r="M48" s="22"/>
    </row>
    <row r="49" spans="2:13">
      <c r="B49" s="78"/>
      <c r="C49" s="53"/>
      <c r="D49" s="79"/>
      <c r="E49" s="79"/>
      <c r="F49" s="79"/>
      <c r="G49" s="79"/>
      <c r="H49" s="29"/>
      <c r="I49" s="39"/>
      <c r="K49" s="558"/>
      <c r="M49" s="22"/>
    </row>
    <row r="50" spans="2:13">
      <c r="B50" s="48" t="str">
        <f>IF(Contents!$B$2=2,"Energy and fuel consumption","Потребление энергии и топлива")</f>
        <v>Energy and fuel consumption</v>
      </c>
      <c r="C50" s="49"/>
      <c r="D50" s="50"/>
      <c r="E50" s="50"/>
      <c r="F50" s="51"/>
      <c r="G50" s="51"/>
      <c r="H50" s="29"/>
      <c r="I50" s="39"/>
      <c r="K50" s="558"/>
      <c r="M50" s="22"/>
    </row>
    <row r="51" spans="2:13">
      <c r="B51" s="52" t="str">
        <f>IF(Contents!$B$2=2,"Volume of renewable and low-carbon energy consumption","Объем потребления возобновляемой и низкоуглеродной энергии")</f>
        <v>Volume of renewable and low-carbon energy consumption</v>
      </c>
      <c r="C51" s="53" t="str">
        <f>IF(Contents!$B$2=2,"GJ","ГДж")</f>
        <v>GJ</v>
      </c>
      <c r="D51" s="107">
        <v>83661</v>
      </c>
      <c r="E51" s="107">
        <v>229275.8046</v>
      </c>
      <c r="F51" s="107">
        <v>544465.126590534</v>
      </c>
      <c r="G51" s="793">
        <v>1320.981804</v>
      </c>
      <c r="H51" s="29"/>
      <c r="I51" s="56" t="str">
        <f>IF(Contents!$B$2=2,"PBCS 12","СОКБ 11")</f>
        <v>PBCS 12</v>
      </c>
      <c r="K51" s="277">
        <v>2</v>
      </c>
      <c r="M51" s="22"/>
    </row>
    <row r="52" spans="2:13">
      <c r="B52" s="52" t="str">
        <f>IF(Contents!$B$2=2,"Own energy consumption, excluding heat and electricity supply to external consumers","Собственное энергопотребление, без учета отпуска тепла и электроэнергии внешним потребителям")</f>
        <v>Own energy consumption, excluding heat and electricity supply to external consumers</v>
      </c>
      <c r="C52" s="53" t="str">
        <f>IF(Contents!$B$2=2,"GJ","ГДж")</f>
        <v>GJ</v>
      </c>
      <c r="D52" s="107">
        <v>16685781</v>
      </c>
      <c r="E52" s="107">
        <v>12256820</v>
      </c>
      <c r="F52" s="107">
        <v>13141118</v>
      </c>
      <c r="G52" s="793">
        <v>14151321</v>
      </c>
      <c r="H52" s="29"/>
      <c r="I52" s="56" t="str">
        <f>IF(Contents!$B$2=2,"PBCS 12","СОКБ 12")</f>
        <v>PBCS 12</v>
      </c>
      <c r="K52" s="277">
        <v>2</v>
      </c>
      <c r="M52" s="22"/>
    </row>
    <row r="53" spans="2:13">
      <c r="B53" s="23" t="str">
        <f>IF(Contents!$B$2=2,"by type","по видам")</f>
        <v>by type</v>
      </c>
      <c r="C53" s="77" t="str">
        <f>IF(Contents!$B$2=2,"GJ","ГДж")</f>
        <v>GJ</v>
      </c>
      <c r="D53" s="758"/>
      <c r="E53" s="758"/>
      <c r="F53" s="758"/>
      <c r="G53" s="758"/>
      <c r="H53" s="29"/>
      <c r="I53" s="39"/>
      <c r="K53" s="558"/>
      <c r="M53" s="22"/>
    </row>
    <row r="54" spans="2:13">
      <c r="B54" s="78" t="str">
        <f>IF(Contents!$B$2=2,"Heat","Тепловой энергии")</f>
        <v>Heat</v>
      </c>
      <c r="C54" s="53" t="str">
        <f>IF(Contents!$B$2=2,"GJ","ГДж")</f>
        <v>GJ</v>
      </c>
      <c r="D54" s="107">
        <v>3557194</v>
      </c>
      <c r="E54" s="107">
        <v>3008000</v>
      </c>
      <c r="F54" s="107">
        <v>3240000</v>
      </c>
      <c r="G54" s="793">
        <v>3840000</v>
      </c>
      <c r="H54" s="29"/>
      <c r="I54" s="56" t="str">
        <f>IF(Contents!$B$2=2,"PBCS 13","СОКБ 12")</f>
        <v>PBCS 13</v>
      </c>
      <c r="K54" s="277">
        <v>2</v>
      </c>
      <c r="M54" s="22"/>
    </row>
    <row r="55" spans="2:13">
      <c r="B55" s="78" t="str">
        <f>IF(Contents!$B$2=2,"Electricity","Электроэнергия")</f>
        <v>Electricity</v>
      </c>
      <c r="C55" s="53" t="str">
        <f>IF(Contents!$B$2=2,"GJ","ГДж")</f>
        <v>GJ</v>
      </c>
      <c r="D55" s="107">
        <v>13128587</v>
      </c>
      <c r="E55" s="107">
        <v>9248820</v>
      </c>
      <c r="F55" s="107">
        <v>9901118</v>
      </c>
      <c r="G55" s="793">
        <v>10311321</v>
      </c>
      <c r="H55" s="29"/>
      <c r="I55" s="56" t="str">
        <f>IF(Contents!$B$2=2,"PBCS 13","СОКБ 12")</f>
        <v>PBCS 13</v>
      </c>
      <c r="K55" s="277">
        <v>2</v>
      </c>
      <c r="M55" s="22"/>
    </row>
    <row r="56" spans="2:13">
      <c r="B56" s="23" t="str">
        <f>IF(Contents!$B$2=2,"by type of fuel used","по видам использованного топлива")</f>
        <v>by type of fuel used</v>
      </c>
      <c r="C56" s="77" t="str">
        <f>IF(Contents!$B$2=2,"GJ","ГДж")</f>
        <v>GJ</v>
      </c>
      <c r="D56" s="92">
        <f>SUM(D57:D60)</f>
        <v>188222272</v>
      </c>
      <c r="E56" s="92">
        <f>SUM(E57:E60)</f>
        <v>141431858</v>
      </c>
      <c r="F56" s="92">
        <f>SUM(F57:F60)</f>
        <v>146968969</v>
      </c>
      <c r="G56" s="92">
        <f>SUM(G57:G60)</f>
        <v>159654730</v>
      </c>
      <c r="H56" s="29"/>
      <c r="I56" s="39"/>
      <c r="K56" s="558"/>
      <c r="M56" s="22"/>
    </row>
    <row r="57" spans="2:13">
      <c r="B57" s="757" t="str">
        <f>IF(Contents!$B$2=2,"Natural gas to produce heat and electricity","Природный газ для производства тепла и электроэнергии")</f>
        <v>Natural gas to produce heat and electricity</v>
      </c>
      <c r="C57" s="53" t="str">
        <f>IF(Contents!$B$2=2,"GJ","ГДж")</f>
        <v>GJ</v>
      </c>
      <c r="D57" s="107">
        <v>40517582</v>
      </c>
      <c r="E57" s="107">
        <v>26807053</v>
      </c>
      <c r="F57" s="107">
        <v>33071063</v>
      </c>
      <c r="G57" s="793">
        <v>32309451</v>
      </c>
      <c r="H57" s="29"/>
      <c r="I57" s="56" t="str">
        <f>IF(Contents!$B$2=2,"PBCS 13","СОКБ 12")</f>
        <v>PBCS 13</v>
      </c>
      <c r="K57" s="277">
        <v>2</v>
      </c>
      <c r="M57" s="22"/>
    </row>
    <row r="58" spans="2:13">
      <c r="B58" s="757" t="str">
        <f>IF(Contents!$B$2=2,"Natural gas for the Company's own technological needs","Природный газ для собственных технологических нужд Компании")</f>
        <v>Natural gas for the Company's own technological needs</v>
      </c>
      <c r="C58" s="53" t="str">
        <f>IF(Contents!$B$2=2,"GJ","ГДж")</f>
        <v>GJ</v>
      </c>
      <c r="D58" s="107">
        <v>143178190</v>
      </c>
      <c r="E58" s="107">
        <v>107789355</v>
      </c>
      <c r="F58" s="107">
        <v>106735113</v>
      </c>
      <c r="G58" s="793">
        <v>119459552</v>
      </c>
      <c r="H58" s="29"/>
      <c r="I58" s="56" t="str">
        <f>IF(Contents!$B$2=2,"PBCS 13","СОКБ 12")</f>
        <v>PBCS 13</v>
      </c>
      <c r="K58" s="277">
        <v>2</v>
      </c>
      <c r="M58" s="22"/>
    </row>
    <row r="59" spans="2:13">
      <c r="B59" s="757" t="str">
        <f>IF(Contents!$B$2=2,"Butane fraction","Бутановая фракция")</f>
        <v>Butane fraction</v>
      </c>
      <c r="C59" s="53" t="str">
        <f>IF(Contents!$B$2=2,"GJ","ГДж")</f>
        <v>GJ</v>
      </c>
      <c r="D59" s="107">
        <v>4526500</v>
      </c>
      <c r="E59" s="107">
        <v>6271804</v>
      </c>
      <c r="F59" s="107">
        <v>6568031</v>
      </c>
      <c r="G59" s="793">
        <v>7305427</v>
      </c>
      <c r="H59" s="29"/>
      <c r="I59" s="56" t="str">
        <f>IF(Contents!$B$2=2,"PBCS 13","СОКБ 12")</f>
        <v>PBCS 13</v>
      </c>
      <c r="K59" s="277">
        <v>2</v>
      </c>
      <c r="M59" s="22"/>
    </row>
    <row r="60" spans="2:13">
      <c r="B60" s="757" t="str">
        <f>IF(Contents!$B$2=2,"Marine fuel component","Компонент судового топлива")</f>
        <v>Marine fuel component</v>
      </c>
      <c r="C60" s="53" t="str">
        <f>IF(Contents!$B$2=2,"GJ","ГДж")</f>
        <v>GJ</v>
      </c>
      <c r="D60" s="107" t="s">
        <v>185</v>
      </c>
      <c r="E60" s="107">
        <v>563646</v>
      </c>
      <c r="F60" s="107">
        <v>594762</v>
      </c>
      <c r="G60" s="793">
        <v>580300</v>
      </c>
      <c r="H60" s="29"/>
      <c r="I60" s="56" t="str">
        <f>IF(Contents!$B$2=2,"PBCS 13","СОКБ 12")</f>
        <v>PBCS 13</v>
      </c>
      <c r="K60" s="277">
        <v>2</v>
      </c>
      <c r="M60" s="22"/>
    </row>
    <row r="61" spans="2:13">
      <c r="B61" s="757"/>
      <c r="C61" s="53"/>
      <c r="D61" s="86"/>
      <c r="E61" s="86"/>
      <c r="F61" s="86"/>
      <c r="G61" s="86"/>
      <c r="H61" s="29"/>
      <c r="I61" s="39"/>
      <c r="K61" s="558"/>
      <c r="M61" s="22"/>
    </row>
    <row r="62" spans="2:13">
      <c r="B62" s="25" t="str">
        <f>IF(Contents!$B$2=2,"Notes:","Примечания:")</f>
        <v>Notes:</v>
      </c>
      <c r="C62" s="53"/>
      <c r="D62" s="86"/>
      <c r="E62" s="86"/>
      <c r="F62" s="86"/>
      <c r="G62" s="86"/>
      <c r="H62" s="29"/>
      <c r="I62" s="39"/>
      <c r="K62" s="558"/>
      <c r="M62" s="22"/>
    </row>
    <row r="63" spans="2:13">
      <c r="B63" s="26" t="str">
        <f>IF(Contents!$B$2=2, C64, B64)</f>
        <v>Energy consumption is calculated as the sum of purchased energy and supporting generation less sales and dispatch. The following coefficients were used to recalculate the data: 1 thousand kWh = 3.6 GJ, 1 Gcal = 4.187 GJ. When recalculating data on fuel consumption, the following coefficient was used: 1 toe = 29.31 GJ; 1 toe = 1 cubic metre * 1.154.</v>
      </c>
      <c r="C63" s="1"/>
      <c r="D63" s="82"/>
      <c r="E63" s="82"/>
      <c r="F63" s="82"/>
      <c r="G63" s="82"/>
      <c r="H63" s="29"/>
      <c r="I63" s="39"/>
      <c r="K63" s="558"/>
      <c r="M63" s="22"/>
    </row>
    <row r="64" spans="2:13">
      <c r="B64" s="113" t="s">
        <v>9</v>
      </c>
      <c r="C64" s="113" t="s">
        <v>34</v>
      </c>
      <c r="D64" s="82"/>
      <c r="E64" s="82"/>
      <c r="F64" s="82"/>
      <c r="G64" s="82"/>
      <c r="H64" s="29"/>
      <c r="I64" s="39"/>
      <c r="K64" s="558"/>
      <c r="M64" s="22"/>
    </row>
    <row r="65" spans="2:13">
      <c r="B65" s="48" t="str">
        <f>IF(Contents!$B$2=2,"Environmental expenses","Расходы на охрану окружающей среды")</f>
        <v>Environmental expenses</v>
      </c>
      <c r="C65" s="49"/>
      <c r="D65" s="50"/>
      <c r="E65" s="50"/>
      <c r="F65" s="51"/>
      <c r="G65" s="51"/>
      <c r="H65" s="29"/>
      <c r="I65" s="39"/>
      <c r="K65" s="558"/>
      <c r="M65" s="22"/>
    </row>
    <row r="66" spans="2:13">
      <c r="B66" s="52" t="str">
        <f>IF(Contents!$B$2=2,"Expenses on the implementation of activities related to environmental protection","Расходы на реализацию мероприятий, связанных с охраной окружающей среды")</f>
        <v>Expenses on the implementation of activities related to environmental protection</v>
      </c>
      <c r="C66" s="53" t="str">
        <f>IF(Contents!$B$2=2,"RR th.","тыс. руб.")</f>
        <v>RR th.</v>
      </c>
      <c r="D66" s="91">
        <v>2570042.5</v>
      </c>
      <c r="E66" s="91">
        <v>3088388.1</v>
      </c>
      <c r="F66" s="91">
        <v>3428649.9</v>
      </c>
      <c r="G66" s="107">
        <v>3277126.3</v>
      </c>
      <c r="H66" s="29"/>
      <c r="I66" s="56" t="str">
        <f>IF(Contents!$B$2=2,"PBCS 10","СОКБ 10")</f>
        <v>PBCS 10</v>
      </c>
      <c r="K66" s="277">
        <v>2</v>
      </c>
      <c r="L66" s="277"/>
      <c r="M66" s="22"/>
    </row>
    <row r="67" spans="2:13">
      <c r="B67" s="23" t="str">
        <f>IF(Contents!$B$2=2,"by areas of environmental protection activities","по направлениям проведения природоохранных мероприятий")</f>
        <v>by areas of environmental protection activities</v>
      </c>
      <c r="C67" s="77"/>
      <c r="D67" s="84"/>
      <c r="E67" s="84"/>
      <c r="F67" s="84"/>
      <c r="G67" s="84"/>
      <c r="H67" s="29"/>
      <c r="I67" s="39"/>
      <c r="K67" s="277"/>
      <c r="L67" s="277"/>
      <c r="M67" s="22"/>
    </row>
    <row r="68" spans="2:13">
      <c r="B68" s="87" t="str">
        <f>IF(Contents!$B$2=2,"For air protection and climate change prevention","На охрану атмосферного воздуха и предотвращение изменения климата")</f>
        <v>For air protection and climate change prevention</v>
      </c>
      <c r="C68" s="53" t="str">
        <f>IF(Contents!$B$2=2,"RR th.","тыс. руб.")</f>
        <v>RR th.</v>
      </c>
      <c r="D68" s="91">
        <v>209214.91244260001</v>
      </c>
      <c r="E68" s="91">
        <v>709930.76018994965</v>
      </c>
      <c r="F68" s="91">
        <v>277309.76520298002</v>
      </c>
      <c r="G68" s="793">
        <v>624185.11738839594</v>
      </c>
      <c r="H68" s="29"/>
      <c r="I68" s="56" t="str">
        <f>IF(Contents!$B$2=2,"PBCS 10","СОКБ 10")</f>
        <v>PBCS 10</v>
      </c>
      <c r="K68" s="277">
        <v>2</v>
      </c>
      <c r="L68" s="277"/>
      <c r="M68" s="783"/>
    </row>
    <row r="69" spans="2:13">
      <c r="B69" s="87" t="str">
        <f>IF(Contents!$B$2=2,"For waste water collection and treatment","На сбор и очистку сточных вод")</f>
        <v>For waste water collection and treatment</v>
      </c>
      <c r="C69" s="53" t="str">
        <f>IF(Contents!$B$2=2,"RR th.","тыс. руб.")</f>
        <v>RR th.</v>
      </c>
      <c r="D69" s="91">
        <v>743990.57616974995</v>
      </c>
      <c r="E69" s="91">
        <v>1004588.8252395431</v>
      </c>
      <c r="F69" s="91">
        <v>2033546.6113855781</v>
      </c>
      <c r="G69" s="793">
        <v>1691733.4485025997</v>
      </c>
      <c r="H69" s="29"/>
      <c r="I69" s="56" t="str">
        <f>IF(Contents!$B$2=2,"PBCS 10","СОКБ 10")</f>
        <v>PBCS 10</v>
      </c>
      <c r="K69" s="277">
        <v>2</v>
      </c>
      <c r="L69" s="277"/>
      <c r="M69" s="22"/>
    </row>
    <row r="70" spans="2:13">
      <c r="B70" s="87" t="str">
        <f>IF(Contents!$B$2=2,"For waste management","На обращение с отходами")</f>
        <v>For waste management</v>
      </c>
      <c r="C70" s="53" t="str">
        <f>IF(Contents!$B$2=2,"RR th.","тыс. руб.")</f>
        <v>RR th.</v>
      </c>
      <c r="D70" s="91">
        <v>870649.34575378662</v>
      </c>
      <c r="E70" s="91">
        <v>728774.82264314976</v>
      </c>
      <c r="F70" s="91">
        <v>609976.53624282707</v>
      </c>
      <c r="G70" s="793">
        <v>491591.66621158709</v>
      </c>
      <c r="H70" s="29"/>
      <c r="I70" s="56" t="str">
        <f>IF(Contents!$B$2=2,"PBCS 10","СОКБ 10")</f>
        <v>PBCS 10</v>
      </c>
      <c r="K70" s="277">
        <v>2</v>
      </c>
      <c r="L70" s="277"/>
      <c r="M70" s="22"/>
    </row>
    <row r="71" spans="2:13">
      <c r="B71" s="87" t="str">
        <f>IF(Contents!$B$2=2,"For biodiversity and natural areas conservation","На сохранение биоразнообразия и природных территорий")</f>
        <v>For biodiversity and natural areas conservation</v>
      </c>
      <c r="C71" s="53" t="str">
        <f>IF(Contents!$B$2=2,"RR th.","тыс. руб.")</f>
        <v>RR th.</v>
      </c>
      <c r="D71" s="91">
        <v>286692.70105920098</v>
      </c>
      <c r="E71" s="91">
        <v>157865.70542549097</v>
      </c>
      <c r="F71" s="91">
        <v>40008.054215700002</v>
      </c>
      <c r="G71" s="793">
        <v>80552</v>
      </c>
      <c r="H71" s="29"/>
      <c r="I71" s="56" t="str">
        <f>IF(Contents!$B$2=2,"PBCS 10","СОКБ 10")</f>
        <v>PBCS 10</v>
      </c>
      <c r="K71" s="277">
        <v>2</v>
      </c>
      <c r="L71" s="277"/>
      <c r="M71" s="22"/>
    </row>
    <row r="72" spans="2:13" ht="36">
      <c r="B72" s="87" t="str">
        <f>IF(Contents!$B$2=2,"For protection and rational use of lands, rehabilitation of lands and protection of subsurface resources","На охрану и рациональное использование земель, реабилитацию земель и охрану недр")</f>
        <v>For protection and rational use of lands, rehabilitation of lands and protection of subsurface resources</v>
      </c>
      <c r="C72" s="53" t="str">
        <f>IF(Contents!$B$2=2,"RR th.","тыс. руб.")</f>
        <v>RR th.</v>
      </c>
      <c r="D72" s="91">
        <v>222756</v>
      </c>
      <c r="E72" s="91">
        <v>245897</v>
      </c>
      <c r="F72" s="91">
        <v>248264</v>
      </c>
      <c r="G72" s="793">
        <v>251417.83103328303</v>
      </c>
      <c r="H72" s="29"/>
      <c r="I72" s="56" t="str">
        <f>IF(Contents!$B$2=2,"PBCS 10","СОКБ 10")</f>
        <v>PBCS 10</v>
      </c>
      <c r="K72" s="277">
        <v>2</v>
      </c>
      <c r="L72" s="277"/>
      <c r="M72" s="22"/>
    </row>
    <row r="73" spans="2:13">
      <c r="B73" s="87" t="str">
        <f>IF(Contents!$B$2=2,"For environmental protection from noise, vibration and other physical impacts","На защиту окружающей среды от шумового, вибрационного и других видов физического воздействия")</f>
        <v>For environmental protection from noise, vibration and other physical impacts</v>
      </c>
      <c r="C73" s="53" t="str">
        <f>IF(Contents!$B$2=2,"RR th.","тыс. руб.")</f>
        <v>RR th.</v>
      </c>
      <c r="D73" s="91" t="s">
        <v>185</v>
      </c>
      <c r="E73" s="91" t="s">
        <v>185</v>
      </c>
      <c r="F73" s="91">
        <v>610</v>
      </c>
      <c r="G73" s="793">
        <v>0</v>
      </c>
      <c r="H73" s="29"/>
      <c r="I73" s="56" t="str">
        <f>IF(Contents!$B$2=2,"PBCS 10","СОКБ 10")</f>
        <v>PBCS 10</v>
      </c>
      <c r="K73" s="277">
        <v>2</v>
      </c>
      <c r="L73" s="56"/>
      <c r="M73" s="22"/>
    </row>
    <row r="74" spans="2:13">
      <c r="B74" s="87" t="str">
        <f>IF(Contents!$B$2=2,"For other environmental activities","На другие направления деятельности в сфере охраны окружающей среды")</f>
        <v>For other environmental activities</v>
      </c>
      <c r="C74" s="53" t="str">
        <f>IF(Contents!$B$2=2,"RR th.","тыс. руб.")</f>
        <v>RR th.</v>
      </c>
      <c r="D74" s="91">
        <v>225664</v>
      </c>
      <c r="E74" s="91">
        <v>232881</v>
      </c>
      <c r="F74" s="91">
        <v>215192</v>
      </c>
      <c r="G74" s="793">
        <v>133684.29248116398</v>
      </c>
      <c r="H74" s="29"/>
      <c r="I74" s="56" t="str">
        <f>IF(Contents!$B$2=2,"PBCS 10","СОКБ 10")</f>
        <v>PBCS 10</v>
      </c>
      <c r="K74" s="277">
        <v>2</v>
      </c>
      <c r="L74" s="277"/>
      <c r="M74" s="22"/>
    </row>
    <row r="75" spans="2:13">
      <c r="B75" s="52" t="str">
        <f>IF(Contents!$B$2=2,"Costs of compensation in the form of payment for negative environmental impact","Затраты на компенсации в виде платы за негативное воздействие на окружающую среду")</f>
        <v>Costs of compensation in the form of payment for negative environmental impact</v>
      </c>
      <c r="C75" s="53" t="str">
        <f>IF(Contents!$B$2=2,"RR th.","тыс. руб.")</f>
        <v>RR th.</v>
      </c>
      <c r="D75" s="91">
        <v>11075</v>
      </c>
      <c r="E75" s="91">
        <v>8450</v>
      </c>
      <c r="F75" s="91">
        <v>4353</v>
      </c>
      <c r="G75" s="204">
        <v>3962</v>
      </c>
      <c r="H75" s="29"/>
      <c r="I75" s="56" t="str">
        <f>IF(Contents!$B$2=2,"PBCS 14","СОКБ 14")</f>
        <v>PBCS 14</v>
      </c>
      <c r="K75" s="277">
        <v>2</v>
      </c>
      <c r="L75" s="277"/>
      <c r="M75" s="22"/>
    </row>
    <row r="76" spans="2:13">
      <c r="B76" s="87" t="str">
        <f>IF(Contents!$B$2=2,"Volume of payments for regulatory impact (including for emissions, charges, waste)","Объем платежей за нормативное воздействие ( в т.ч. за выбросы, сборы, отходы)")</f>
        <v>Volume of payments for regulatory impact (including for emissions, charges, waste)</v>
      </c>
      <c r="C76" s="12" t="str">
        <f>IF(Contents!$B$2=2,"RR th.","тыс. руб.")</f>
        <v>RR th.</v>
      </c>
      <c r="D76" s="91">
        <v>3877</v>
      </c>
      <c r="E76" s="91">
        <v>4274</v>
      </c>
      <c r="F76" s="91">
        <v>4287</v>
      </c>
      <c r="G76" s="204">
        <v>3877</v>
      </c>
      <c r="H76" s="29"/>
      <c r="I76" s="56" t="str">
        <f>IF(Contents!$B$2=2,"PBCS 14","СОКБ 14")</f>
        <v>PBCS 14</v>
      </c>
      <c r="K76" s="277">
        <v>2</v>
      </c>
      <c r="L76" s="297"/>
      <c r="M76" s="22"/>
    </row>
    <row r="77" spans="2:13">
      <c r="B77" s="87" t="str">
        <f>IF(Contents!$B$2=2,"Amount of payments for excess exposure, including","Объем платежей за сверхнормативное воздействие, в т.ч.")</f>
        <v>Amount of payments for excess exposure, including</v>
      </c>
      <c r="C77" s="12" t="str">
        <f>IF(Contents!$B$2=2,"RR th.","тыс. руб.")</f>
        <v>RR th.</v>
      </c>
      <c r="D77" s="91">
        <v>7198</v>
      </c>
      <c r="E77" s="91">
        <v>4176</v>
      </c>
      <c r="F77" s="91">
        <v>66</v>
      </c>
      <c r="G77" s="204">
        <v>85</v>
      </c>
      <c r="H77" s="29"/>
      <c r="I77" s="56" t="str">
        <f>IF(Contents!$B$2=2,"PBCS 14","СОКБ 14")</f>
        <v>PBCS 14</v>
      </c>
      <c r="K77" s="277">
        <v>2</v>
      </c>
      <c r="L77" s="277"/>
      <c r="M77" s="22"/>
    </row>
    <row r="78" spans="2:13">
      <c r="B78" s="52" t="str">
        <f>IF(Contents!$B$2=2,"Costs of compensation and penalties","Затраты на компенсации и штрафы")</f>
        <v>Costs of compensation and penalties</v>
      </c>
      <c r="C78" s="53" t="str">
        <f>IF(Contents!$B$2=2,"RR th.","тыс. руб.")</f>
        <v>RR th.</v>
      </c>
      <c r="D78" s="91">
        <v>973</v>
      </c>
      <c r="E78" s="91">
        <v>1858</v>
      </c>
      <c r="F78" s="91">
        <v>316</v>
      </c>
      <c r="G78" s="204">
        <v>259</v>
      </c>
      <c r="H78" s="29"/>
      <c r="I78" s="56" t="str">
        <f>IF(Contents!$B$2=2,"PBCS 15","СОКБ 15")</f>
        <v>PBCS 15</v>
      </c>
      <c r="K78" s="277">
        <v>2</v>
      </c>
      <c r="L78" s="277"/>
      <c r="M78" s="22"/>
    </row>
    <row r="79" spans="2:13">
      <c r="B79" s="87" t="str">
        <f>IF(Contents!$B$2=2,"Fines for violating environmental legislation","Штрафы за нарушения природоохранного законодательства")</f>
        <v>Fines for violating environmental legislation</v>
      </c>
      <c r="C79" s="53" t="str">
        <f>IF(Contents!$B$2=2,"RR th.","тыс. руб.")</f>
        <v>RR th.</v>
      </c>
      <c r="D79" s="91">
        <v>973</v>
      </c>
      <c r="E79" s="91">
        <v>1858</v>
      </c>
      <c r="F79" s="91">
        <v>316</v>
      </c>
      <c r="G79" s="793">
        <v>259</v>
      </c>
      <c r="H79" s="29"/>
      <c r="I79" s="56" t="str">
        <f>IF(Contents!$B$2=2,"PBCS 15","СОКБ 15")</f>
        <v>PBCS 15</v>
      </c>
      <c r="K79" s="277">
        <v>2</v>
      </c>
      <c r="L79" s="277"/>
      <c r="M79" s="22"/>
    </row>
    <row r="80" spans="2:13">
      <c r="B80" s="285" t="str">
        <f>IF(Contents!$B$2=2,"for cases of non-compliance with laws and regulations in the reporting year","за случаи несоблюдения законов и правил в отчетном году")</f>
        <v>for cases of non-compliance with laws and regulations in the reporting year</v>
      </c>
      <c r="C80" s="53" t="str">
        <f>IF(Contents!$B$2=2,"RR th.","тыс. руб.")</f>
        <v>RR th.</v>
      </c>
      <c r="D80" s="506">
        <v>973</v>
      </c>
      <c r="E80" s="506">
        <v>150</v>
      </c>
      <c r="F80" s="506">
        <v>240</v>
      </c>
      <c r="G80" s="898">
        <v>140</v>
      </c>
      <c r="H80" s="29"/>
      <c r="I80" s="56" t="str">
        <f>IF(Contents!$B$2=2,"PBCS 15","СОКБ 15")</f>
        <v>PBCS 15</v>
      </c>
      <c r="K80" s="277">
        <v>2</v>
      </c>
      <c r="L80" s="297"/>
      <c r="M80" s="22"/>
    </row>
    <row r="81" spans="1:241">
      <c r="B81" s="285" t="str">
        <f>IF(Contents!$B$2=2,"for cases of non-compliance with laws and regulations in previous years","за случаи несоблюдения законов и правил в предыдущих годах")</f>
        <v>for cases of non-compliance with laws and regulations in previous years</v>
      </c>
      <c r="C81" s="53" t="str">
        <f>IF(Contents!$B$2=2,"RR th.","тыс. руб.")</f>
        <v>RR th.</v>
      </c>
      <c r="D81" s="506" t="s">
        <v>185</v>
      </c>
      <c r="E81" s="506">
        <v>1708</v>
      </c>
      <c r="F81" s="506">
        <v>76</v>
      </c>
      <c r="G81" s="898">
        <v>119</v>
      </c>
      <c r="H81" s="29"/>
      <c r="I81" s="56" t="str">
        <f>IF(Contents!$B$2=2,"PBCS 15","СОКБ 15")</f>
        <v>PBCS 15</v>
      </c>
      <c r="K81" s="277">
        <v>2</v>
      </c>
      <c r="L81" s="297"/>
      <c r="M81" s="22"/>
    </row>
    <row r="82" spans="1:241" ht="36">
      <c r="B82" s="87" t="str">
        <f>IF(Contents!$B$2=2,"Compensation paid for harm (damage) caused to the environment, individual components of the natural environment (land, water bodies, forests, wildlife, etc.)","Выплаченная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f>
        <v>Compensation paid for harm (damage) caused to the environment, individual components of the natural environment (land, water bodies, forests, wildlife, etc.)</v>
      </c>
      <c r="C82" s="53" t="str">
        <f>IF(Contents!$B$2=2,"RR th.","тыс. руб.")</f>
        <v>RR th.</v>
      </c>
      <c r="D82" s="88" t="s">
        <v>185</v>
      </c>
      <c r="E82" s="88" t="s">
        <v>185</v>
      </c>
      <c r="F82" s="88">
        <v>0</v>
      </c>
      <c r="G82" s="899">
        <v>0</v>
      </c>
      <c r="H82" s="29"/>
      <c r="I82" s="56" t="str">
        <f>IF(Contents!$B$2=2,"PBCS 15","СОКБ 15")</f>
        <v>PBCS 15</v>
      </c>
      <c r="K82" s="277">
        <v>2</v>
      </c>
      <c r="L82" s="297"/>
      <c r="M82" s="22"/>
    </row>
    <row r="83" spans="1:241">
      <c r="A83" s="756"/>
      <c r="B83" s="87"/>
      <c r="C83" s="53"/>
      <c r="D83" s="88"/>
      <c r="E83" s="88"/>
      <c r="F83" s="88"/>
      <c r="G83" s="88"/>
      <c r="H83" s="29"/>
      <c r="I83" s="39"/>
      <c r="K83" s="558"/>
      <c r="M83" s="22"/>
    </row>
    <row r="84" spans="1:241" ht="18">
      <c r="A84" s="756"/>
      <c r="B84" s="25" t="str">
        <f>IF(Contents!$B$2=2,"Notes:","Примечания:")</f>
        <v>Notes:</v>
      </c>
      <c r="C84" s="61"/>
      <c r="D84" s="62"/>
      <c r="E84" s="62"/>
      <c r="F84" s="825"/>
      <c r="G84" s="63"/>
      <c r="H84" s="59"/>
      <c r="I84" s="60"/>
      <c r="J84" s="56"/>
      <c r="K84" s="56"/>
      <c r="L84" s="56"/>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row>
    <row r="85" spans="1:241" ht="18">
      <c r="A85" s="116"/>
      <c r="B85" s="65" t="str">
        <f>IF(Contents!$B$2=2, C87, B87)</f>
        <v>Environmental expenses include Expenses on the implementation of activities related to environmental protection and Costs of compensation in the form of payment for negative environmental impact</v>
      </c>
      <c r="C85" s="65"/>
      <c r="D85" s="66"/>
      <c r="E85" s="66"/>
      <c r="F85" s="66"/>
      <c r="G85" s="66"/>
      <c r="H85" s="755"/>
      <c r="I85" s="60"/>
      <c r="J85" s="56"/>
      <c r="K85" s="56"/>
      <c r="L85" s="56"/>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row>
    <row r="86" spans="1:241" ht="18">
      <c r="A86" s="116"/>
      <c r="B86" s="65" t="str">
        <f xml:space="preserve"> IF(Contents!$B$2=2, E87, D87)</f>
        <v>Expenses on other environmental activities include costs of environmental monitoring, management, and other activities.</v>
      </c>
      <c r="C86" s="65"/>
      <c r="D86" s="66"/>
      <c r="E86" s="66"/>
      <c r="F86" s="66"/>
      <c r="G86" s="66"/>
      <c r="H86" s="755"/>
      <c r="I86" s="60"/>
      <c r="J86" s="56"/>
      <c r="K86" s="56"/>
      <c r="L86" s="56"/>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row>
    <row r="87" spans="1:241">
      <c r="B87" s="114" t="s">
        <v>10</v>
      </c>
      <c r="C87" s="114" t="s">
        <v>35</v>
      </c>
      <c r="D87" s="528" t="s">
        <v>27</v>
      </c>
      <c r="E87" s="528" t="s">
        <v>36</v>
      </c>
      <c r="F87" s="82"/>
      <c r="G87" s="82"/>
      <c r="H87" s="29"/>
      <c r="I87" s="39"/>
      <c r="K87" s="558"/>
      <c r="M87" s="22"/>
    </row>
    <row r="88" spans="1:241">
      <c r="B88" s="48" t="str">
        <f>IF(Contents!$B$2=2,"Environmentally significant incidents","Экологически-значимые инциденты")</f>
        <v>Environmentally significant incidents</v>
      </c>
      <c r="C88" s="49"/>
      <c r="D88" s="50"/>
      <c r="E88" s="50"/>
      <c r="F88" s="51"/>
      <c r="G88" s="51"/>
      <c r="H88" s="29"/>
      <c r="K88" s="558"/>
      <c r="M88" s="22"/>
    </row>
    <row r="89" spans="1:241" ht="36">
      <c r="B89" s="52" t="str">
        <f>IF(Contents!$B$2=2,"Accidents and incidents resulting in negative environmental impacts (including those caused by man-made emergencies)","Аварии и инциденты, повлекшие за собой негативное воздействие на окружающую среду (в том числе в результате чрезвычайных ситуаций техногенного характера)")</f>
        <v>Accidents and incidents resulting in negative environmental impacts (including those caused by man-made emergencies)</v>
      </c>
      <c r="C89" s="53" t="str">
        <f>IF(Contents!$B$2=2,"unit","ед.")</f>
        <v>unit</v>
      </c>
      <c r="D89" s="675">
        <v>0</v>
      </c>
      <c r="E89" s="675">
        <v>0</v>
      </c>
      <c r="F89" s="675">
        <v>0</v>
      </c>
      <c r="G89" s="900">
        <v>0</v>
      </c>
      <c r="H89" s="29"/>
      <c r="I89" s="56" t="str">
        <f>IF(Contents!$B$2=2,"PBCS 16","СОКБ 16")</f>
        <v>PBCS 16</v>
      </c>
      <c r="K89" s="277">
        <v>2</v>
      </c>
      <c r="L89" s="56"/>
      <c r="M89" s="22"/>
    </row>
    <row r="90" spans="1:241">
      <c r="B90" s="87"/>
      <c r="C90" s="53"/>
      <c r="D90" s="82"/>
      <c r="E90" s="82"/>
      <c r="F90" s="82"/>
      <c r="G90" s="82"/>
      <c r="H90" s="29"/>
      <c r="I90" s="39"/>
      <c r="K90" s="558"/>
      <c r="M90" s="22"/>
    </row>
    <row r="91" spans="1:241">
      <c r="B91" s="25" t="str">
        <f>IF(Contents!$B$2=2,"Notes:","Примечания:")</f>
        <v>Notes:</v>
      </c>
      <c r="C91" s="53"/>
      <c r="D91" s="86"/>
      <c r="E91" s="86"/>
      <c r="F91" s="86"/>
      <c r="G91" s="86"/>
      <c r="H91" s="29"/>
      <c r="I91" s="39"/>
      <c r="K91" s="558"/>
      <c r="M91" s="22"/>
    </row>
    <row r="92" spans="1:241">
      <c r="B92" s="26" t="str">
        <f>IF(Contents!$B$2=2, C93, B93)</f>
        <v>The environmentally significant incident recorded in 2018 was an oil product spill. Materiality thresholds for spills are determined based on the requirements of the Russian regulations and relevant local regulations of the Company: for water bodies, ≥ 0.5 tonnes; for land, ≥ 3 tonnes.</v>
      </c>
      <c r="C92" s="65"/>
      <c r="D92" s="66"/>
      <c r="E92" s="66"/>
      <c r="F92" s="66"/>
      <c r="G92" s="66"/>
      <c r="H92" s="29"/>
      <c r="I92" s="39"/>
      <c r="K92" s="558"/>
      <c r="M92" s="22"/>
    </row>
    <row r="93" spans="1:241">
      <c r="B93" s="114" t="s">
        <v>198</v>
      </c>
      <c r="C93" s="115" t="s">
        <v>37</v>
      </c>
      <c r="D93" s="82"/>
      <c r="E93" s="82"/>
      <c r="F93" s="82"/>
      <c r="G93" s="82"/>
      <c r="H93" s="29"/>
      <c r="I93" s="39"/>
      <c r="K93" s="558"/>
      <c r="M93" s="22"/>
    </row>
    <row r="94" spans="1:241" ht="36">
      <c r="B94" s="48"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Capital investments aimed at environmental protection and rational use of natural resources</v>
      </c>
      <c r="C94" s="49"/>
      <c r="D94" s="50"/>
      <c r="E94" s="50"/>
      <c r="F94" s="51"/>
      <c r="G94" s="51"/>
      <c r="H94" s="29"/>
      <c r="I94" s="39"/>
      <c r="K94" s="558"/>
      <c r="M94" s="22"/>
    </row>
    <row r="95" spans="1:241" ht="36">
      <c r="B95" s="52"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Capital investments aimed at environmental protection and rational use of natural resources</v>
      </c>
      <c r="C95" s="53" t="str">
        <f>IF(Contents!$B$2=2,"RR th.","тыс. руб.")</f>
        <v>RR th.</v>
      </c>
      <c r="D95" s="107">
        <v>2001546</v>
      </c>
      <c r="E95" s="107">
        <v>3481201.4206000003</v>
      </c>
      <c r="F95" s="107">
        <v>1989899.4568</v>
      </c>
      <c r="G95" s="793">
        <v>3601908.4220000003</v>
      </c>
      <c r="H95" s="29"/>
      <c r="I95" s="56" t="str">
        <f>IF(Contents!$B$2=2,"PBCS 17","СОКБ 17")</f>
        <v>PBCS 17</v>
      </c>
      <c r="K95" s="277">
        <v>2</v>
      </c>
      <c r="M95" s="22"/>
    </row>
    <row r="96" spans="1:241">
      <c r="B96" s="114"/>
      <c r="C96" s="115"/>
      <c r="D96" s="82"/>
      <c r="E96" s="82"/>
      <c r="F96" s="82"/>
      <c r="G96" s="82"/>
      <c r="H96" s="29"/>
      <c r="I96" s="39"/>
      <c r="K96" s="558"/>
      <c r="M96" s="22"/>
    </row>
    <row r="97" spans="2:13">
      <c r="B97" s="45" t="str">
        <f>IF(Contents!$B$2=2,"Social indicators","Социальные показатели")</f>
        <v>Social indicators</v>
      </c>
      <c r="C97" s="45"/>
      <c r="D97" s="719"/>
      <c r="E97" s="719"/>
      <c r="F97" s="719"/>
      <c r="G97" s="719"/>
      <c r="H97" s="29"/>
      <c r="I97" s="39"/>
      <c r="K97" s="558"/>
      <c r="M97" s="22"/>
    </row>
    <row r="98" spans="2:13">
      <c r="B98" s="48" t="str">
        <f>IF(Contents!$B$2=2,"Compensation","Оплата труда")</f>
        <v>Compensation</v>
      </c>
      <c r="C98" s="49"/>
      <c r="D98" s="50"/>
      <c r="E98" s="50"/>
      <c r="F98" s="51"/>
      <c r="G98" s="51"/>
      <c r="H98" s="29"/>
      <c r="I98" s="39"/>
      <c r="K98" s="558"/>
      <c r="M98" s="22"/>
    </row>
    <row r="99" spans="2:13">
      <c r="B99" s="52" t="str">
        <f>IF(Contents!$B$2=2,"Compensation expenses","Расходы на оплату труда")</f>
        <v>Compensation expenses</v>
      </c>
      <c r="C99" s="53" t="str">
        <f>IF(Contents!$B$2=2,"RR th.","тыс. руб.")</f>
        <v>RR th.</v>
      </c>
      <c r="D99" s="91" t="s">
        <v>185</v>
      </c>
      <c r="E99" s="107">
        <v>62900000</v>
      </c>
      <c r="F99" s="107">
        <v>67334000</v>
      </c>
      <c r="G99" s="793">
        <v>82300000</v>
      </c>
      <c r="H99" s="29"/>
      <c r="I99" s="56" t="str">
        <f>IF(Contents!$B$2=2,"PBCS 19","СОКБ 19")</f>
        <v>PBCS 19</v>
      </c>
      <c r="K99" s="558">
        <v>3</v>
      </c>
      <c r="M99" s="22"/>
    </row>
    <row r="100" spans="2:13" ht="36">
      <c r="B100" s="52"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Ratio of the the average salary in the Company (excluding dependent companies) to the average salary in the Yamalo-Nenets Autonomous Okrug</v>
      </c>
      <c r="C100" s="53"/>
      <c r="D100" s="38" t="s">
        <v>185</v>
      </c>
      <c r="E100" s="38" t="s">
        <v>185</v>
      </c>
      <c r="F100" s="38" t="s">
        <v>185</v>
      </c>
      <c r="G100" s="97">
        <v>2.7</v>
      </c>
      <c r="I100" s="56" t="str">
        <f>IF(Contents!$B$2=2,"PBCS 20","СОКБ 20")</f>
        <v>PBCS 20</v>
      </c>
      <c r="K100" s="558">
        <v>1</v>
      </c>
    </row>
    <row r="101" spans="2:13">
      <c r="B101" s="52"/>
      <c r="C101" s="53"/>
      <c r="D101" s="38"/>
      <c r="E101" s="38"/>
      <c r="F101" s="38"/>
      <c r="G101" s="29"/>
      <c r="I101" s="56"/>
      <c r="K101" s="558"/>
    </row>
    <row r="102" spans="2:13">
      <c r="B102" s="48" t="str">
        <f>IF(Contents!$B$2=2,"Personnel structure","Структура персонала")</f>
        <v>Personnel structure</v>
      </c>
      <c r="C102" s="49"/>
      <c r="D102" s="50"/>
      <c r="E102" s="50"/>
      <c r="F102" s="50"/>
      <c r="G102" s="50"/>
      <c r="I102" s="39"/>
      <c r="K102" s="558"/>
      <c r="M102" s="22"/>
    </row>
    <row r="103" spans="2:13">
      <c r="B103" s="52" t="str">
        <f>IF(Contents!$B$2=2,"Average number of employees","Среднесписочная численность работников")</f>
        <v>Average number of employees</v>
      </c>
      <c r="C103" s="53" t="str">
        <f>IF(Contents!$B$2=2,"people","человек")</f>
        <v>people</v>
      </c>
      <c r="D103" s="91">
        <v>18731</v>
      </c>
      <c r="E103" s="91">
        <v>19846</v>
      </c>
      <c r="F103" s="91">
        <v>21157</v>
      </c>
      <c r="G103" s="793">
        <v>22623</v>
      </c>
      <c r="H103" s="29"/>
      <c r="I103" s="56" t="str">
        <f>IF(Contents!$B$2=2,"PBCS 21","СОКБ 21")</f>
        <v>PBCS 21</v>
      </c>
      <c r="K103" s="558">
        <v>1</v>
      </c>
      <c r="M103" s="22"/>
    </row>
    <row r="104" spans="2:13">
      <c r="B104" s="23" t="str">
        <f>IF(Contents!$B$2=2,"by gender","по полу")</f>
        <v>by gender</v>
      </c>
      <c r="C104" s="77"/>
      <c r="D104" s="92"/>
      <c r="E104" s="92"/>
      <c r="F104" s="92"/>
      <c r="G104" s="92"/>
      <c r="H104" s="29"/>
      <c r="I104" s="39"/>
      <c r="K104" s="558"/>
      <c r="M104" s="22"/>
    </row>
    <row r="105" spans="2:13">
      <c r="B105" s="93" t="str">
        <f>IF(Contents!$B$2=2,"Males","Мужчины")</f>
        <v>Males</v>
      </c>
      <c r="C105" s="53" t="s">
        <v>0</v>
      </c>
      <c r="D105" s="675">
        <v>78</v>
      </c>
      <c r="E105" s="675">
        <v>79</v>
      </c>
      <c r="F105" s="675">
        <v>80</v>
      </c>
      <c r="G105" s="900">
        <v>81</v>
      </c>
      <c r="H105" s="29"/>
      <c r="I105" s="56" t="str">
        <f>IF(Contents!$B$2=2,"PBCS 25","СОКБ 25")</f>
        <v>PBCS 25</v>
      </c>
      <c r="K105" s="558">
        <v>1</v>
      </c>
      <c r="M105" s="22"/>
    </row>
    <row r="106" spans="2:13">
      <c r="B106" s="93" t="str">
        <f>IF(Contents!$B$2=2,"Females","Женщины")</f>
        <v>Females</v>
      </c>
      <c r="C106" s="53" t="s">
        <v>0</v>
      </c>
      <c r="D106" s="675">
        <v>22</v>
      </c>
      <c r="E106" s="675">
        <v>21</v>
      </c>
      <c r="F106" s="675">
        <v>20</v>
      </c>
      <c r="G106" s="900">
        <v>19</v>
      </c>
      <c r="H106" s="29"/>
      <c r="I106" s="56" t="str">
        <f>IF(Contents!$B$2=2,"PBCS 25","СОКБ 25")</f>
        <v>PBCS 25</v>
      </c>
      <c r="K106" s="558">
        <v>1</v>
      </c>
      <c r="M106" s="22"/>
    </row>
    <row r="107" spans="2:13">
      <c r="B107" s="23" t="str">
        <f>IF(Contents!$B$2=2,"by age group","по возрастным группам")</f>
        <v>by age group</v>
      </c>
      <c r="C107" s="77"/>
      <c r="D107" s="92"/>
      <c r="E107" s="92"/>
      <c r="F107" s="92"/>
      <c r="G107" s="92"/>
      <c r="H107" s="29"/>
      <c r="I107" s="39"/>
      <c r="K107" s="558"/>
      <c r="M107" s="22"/>
    </row>
    <row r="108" spans="2:13">
      <c r="B108" s="796" t="str">
        <f>IF(Contents!$B$2=2,"Up to 30 years old","До 30 лет")</f>
        <v>Up to 30 years old</v>
      </c>
      <c r="C108" s="53" t="s">
        <v>0</v>
      </c>
      <c r="D108" s="107">
        <v>9</v>
      </c>
      <c r="E108" s="107">
        <v>8</v>
      </c>
      <c r="F108" s="107">
        <v>7.0000000000000009</v>
      </c>
      <c r="G108" s="793">
        <v>7.0000000000000009</v>
      </c>
      <c r="H108" s="29"/>
      <c r="I108" s="56" t="str">
        <f>IF(Contents!$B$2=2,"PBCS 25","СОКБ 25")</f>
        <v>PBCS 25</v>
      </c>
      <c r="K108" s="558">
        <v>1</v>
      </c>
      <c r="M108" s="22"/>
    </row>
    <row r="109" spans="2:13">
      <c r="B109" s="796" t="str">
        <f>IF(Contents!$B$2=2,"30 to 50 years old","30-50 лет")</f>
        <v>30 to 50 years old</v>
      </c>
      <c r="C109" s="53" t="s">
        <v>0</v>
      </c>
      <c r="D109" s="107">
        <v>75</v>
      </c>
      <c r="E109" s="107">
        <v>75</v>
      </c>
      <c r="F109" s="107">
        <v>75</v>
      </c>
      <c r="G109" s="793">
        <v>75</v>
      </c>
      <c r="H109" s="29"/>
      <c r="I109" s="56" t="str">
        <f>IF(Contents!$B$2=2,"PBCS 25","СОКБ 25")</f>
        <v>PBCS 25</v>
      </c>
      <c r="K109" s="558">
        <v>1</v>
      </c>
      <c r="M109" s="22"/>
    </row>
    <row r="110" spans="2:13">
      <c r="B110" s="796" t="str">
        <f>IF(Contents!$B$2=2,"Over 50 years old","Старше 50 лет")</f>
        <v>Over 50 years old</v>
      </c>
      <c r="C110" s="53" t="s">
        <v>0</v>
      </c>
      <c r="D110" s="107">
        <v>16</v>
      </c>
      <c r="E110" s="107">
        <v>17</v>
      </c>
      <c r="F110" s="107">
        <v>18</v>
      </c>
      <c r="G110" s="793">
        <v>18</v>
      </c>
      <c r="H110" s="29"/>
      <c r="I110" s="56" t="str">
        <f>IF(Contents!$B$2=2,"PBCS 25","СОКБ 25")</f>
        <v>PBCS 25</v>
      </c>
      <c r="K110" s="558">
        <v>1</v>
      </c>
      <c r="M110" s="22"/>
    </row>
    <row r="111" spans="2:13">
      <c r="B111" s="23" t="str">
        <f>IF(Contents!$B$2=2,"by type of employment contract","по типу трудового договора")</f>
        <v>by type of employment contract</v>
      </c>
      <c r="C111" s="77"/>
      <c r="D111" s="92"/>
      <c r="E111" s="92"/>
      <c r="F111" s="92"/>
      <c r="G111" s="92"/>
      <c r="H111" s="29"/>
      <c r="I111" s="39"/>
      <c r="K111" s="558"/>
      <c r="M111" s="22"/>
    </row>
    <row r="112" spans="2:13">
      <c r="B112" s="87" t="str">
        <f>IF(Contents!$B$2=2,"Percentage of employees working under permanent employment contracts","Доля работников, работающих по бессрочному трудовому договору")</f>
        <v>Percentage of employees working under permanent employment contracts</v>
      </c>
      <c r="C112" s="53" t="s">
        <v>7</v>
      </c>
      <c r="D112" s="797">
        <v>91</v>
      </c>
      <c r="E112" s="797">
        <v>91</v>
      </c>
      <c r="F112" s="797">
        <v>91</v>
      </c>
      <c r="G112" s="921">
        <v>93</v>
      </c>
      <c r="H112" s="29"/>
      <c r="I112" s="56" t="str">
        <f>IF(Contents!$B$2=2,"PBCS 25","СОКБ 25")</f>
        <v>PBCS 25</v>
      </c>
      <c r="K112" s="558">
        <v>1</v>
      </c>
      <c r="M112" s="22"/>
    </row>
    <row r="113" spans="2:24">
      <c r="B113" s="87" t="str">
        <f>IF(Contents!$B$2=2,"Percentage of employees working under fixed-term employment contracts","Доля работников, работающих по срочному трудовому договору")</f>
        <v>Percentage of employees working under fixed-term employment contracts</v>
      </c>
      <c r="C113" s="53" t="s">
        <v>7</v>
      </c>
      <c r="D113" s="798">
        <v>9</v>
      </c>
      <c r="E113" s="798">
        <v>9</v>
      </c>
      <c r="F113" s="798">
        <v>9</v>
      </c>
      <c r="G113" s="922">
        <v>7</v>
      </c>
      <c r="H113" s="29"/>
      <c r="I113" s="56" t="str">
        <f>IF(Contents!$B$2=2,"PBCS 25","СОКБ 25")</f>
        <v>PBCS 25</v>
      </c>
      <c r="K113" s="558">
        <v>1</v>
      </c>
      <c r="M113" s="22"/>
    </row>
    <row r="114" spans="2:24">
      <c r="B114" s="52"/>
      <c r="C114" s="53"/>
      <c r="H114" s="29"/>
      <c r="I114" s="39"/>
      <c r="K114" s="558"/>
      <c r="M114" s="22"/>
    </row>
    <row r="115" spans="2:24">
      <c r="B115" s="48" t="str">
        <f>IF(Contents!$B$2=2,"Personnel diversity","Многообразие персонала")</f>
        <v>Personnel diversity</v>
      </c>
      <c r="C115" s="49"/>
      <c r="D115" s="50"/>
      <c r="E115" s="50"/>
      <c r="F115" s="50"/>
      <c r="G115" s="50"/>
      <c r="H115" s="29"/>
      <c r="I115" s="39"/>
      <c r="K115" s="558"/>
      <c r="M115" s="22"/>
    </row>
    <row r="116" spans="2:24">
      <c r="B116" s="52" t="str">
        <f>IF(Contents!$B$2=2,"Percentage of employees with disabilities","Доля работников, являющихся инвалидами")</f>
        <v>Percentage of employees with disabilities</v>
      </c>
      <c r="C116" s="53" t="s">
        <v>0</v>
      </c>
      <c r="D116" s="799">
        <v>5.0000000000000001E-3</v>
      </c>
      <c r="E116" s="799">
        <v>1.1186133225838999E-2</v>
      </c>
      <c r="F116" s="799">
        <v>1.3281656189440799E-2</v>
      </c>
      <c r="G116" s="901">
        <v>1.4999999999999999E-2</v>
      </c>
      <c r="H116" s="29"/>
      <c r="I116" s="56" t="str">
        <f>IF(Contents!$B$2=2,"PBCS 23","СОКБ 23")</f>
        <v>PBCS 23</v>
      </c>
      <c r="K116" s="558">
        <v>1</v>
      </c>
      <c r="M116" s="22"/>
    </row>
    <row r="117" spans="2:24">
      <c r="B117" s="25" t="str">
        <f>IF(Contents!$B$2=2,"Notes:","Примечания: ")</f>
        <v>Notes:</v>
      </c>
      <c r="C117" s="412"/>
      <c r="D117" s="38"/>
      <c r="E117" s="38"/>
      <c r="F117" s="38"/>
      <c r="G117" s="38"/>
      <c r="H117" s="38"/>
      <c r="I117" s="38"/>
      <c r="J117" s="38"/>
      <c r="K117" s="38"/>
      <c r="L117" s="38"/>
      <c r="M117" s="38"/>
      <c r="N117" s="38"/>
      <c r="O117" s="38"/>
      <c r="P117" s="39"/>
      <c r="Q117" s="39"/>
      <c r="R117" s="39"/>
      <c r="S117" s="39"/>
      <c r="T117" s="589"/>
      <c r="U117" s="589"/>
      <c r="V117" s="589"/>
      <c r="W117" s="558"/>
      <c r="X117" s="589"/>
    </row>
    <row r="118" spans="2:24">
      <c r="B118" s="26" t="str">
        <f>IF(Contents!$B$2=2,C119, B119)</f>
        <v>The indicator is an average of the share of disabled employees across the Group and also includes the share of disabled employees hired by third parties. This indicator was calculated based on the recommendations to the calculation approach of the PBCS Standard and cannot be the basis for determining whether the quota is met in accordance with Resolution of the Russian Government No. 366, On Approval of the Rules for Employers to Fulfil the Employment Quota for Disabled Persons When Employing Disabled Persons in Any Position, dated 14 March 2022’, as it does not take into account the regional factor.</v>
      </c>
      <c r="C118" s="53"/>
      <c r="D118" s="91"/>
      <c r="E118" s="91"/>
      <c r="F118" s="91"/>
      <c r="G118" s="91"/>
      <c r="H118" s="38"/>
      <c r="I118" s="39"/>
      <c r="K118" s="558"/>
      <c r="M118" s="595"/>
      <c r="N118" s="595"/>
      <c r="O118" s="22"/>
    </row>
    <row r="119" spans="2:24">
      <c r="B119" s="115" t="s">
        <v>244</v>
      </c>
      <c r="C119" s="115" t="s">
        <v>243</v>
      </c>
      <c r="D119" s="91"/>
      <c r="E119" s="91"/>
      <c r="F119" s="91"/>
      <c r="G119" s="91"/>
      <c r="H119" s="38"/>
      <c r="I119" s="39"/>
      <c r="K119" s="558"/>
      <c r="M119" s="595"/>
      <c r="N119" s="595"/>
      <c r="O119" s="22"/>
    </row>
    <row r="120" spans="2:24">
      <c r="B120" s="48" t="str">
        <f>IF(Contents!$B$2=2,"Staff turnover and new employees","Текучесть кадров и новые работники")</f>
        <v>Staff turnover and new employees</v>
      </c>
      <c r="C120" s="49"/>
      <c r="D120" s="50"/>
      <c r="E120" s="50"/>
      <c r="F120" s="51"/>
      <c r="G120" s="51"/>
      <c r="H120" s="29"/>
      <c r="I120" s="39"/>
      <c r="K120" s="558"/>
      <c r="M120" s="22"/>
    </row>
    <row r="121" spans="2:24">
      <c r="B121" s="52" t="str">
        <f>IF(Contents!$B$2=2,"Staff turnover rate","Коэффициент текучести кадров")</f>
        <v>Staff turnover rate</v>
      </c>
      <c r="C121" s="53" t="s">
        <v>7</v>
      </c>
      <c r="D121" s="91">
        <v>7</v>
      </c>
      <c r="E121" s="91">
        <v>5</v>
      </c>
      <c r="F121" s="91">
        <v>5</v>
      </c>
      <c r="G121" s="91">
        <v>4</v>
      </c>
      <c r="H121" s="29"/>
      <c r="I121" s="56" t="str">
        <f>IF(Contents!$B$2=2,"PBCS 34","СОКБ 34")</f>
        <v>PBCS 34</v>
      </c>
      <c r="K121" s="558">
        <v>1</v>
      </c>
      <c r="M121" s="22"/>
    </row>
    <row r="122" spans="2:24">
      <c r="B122" s="52"/>
      <c r="C122" s="53"/>
      <c r="D122" s="91"/>
      <c r="E122" s="91"/>
      <c r="F122" s="91"/>
      <c r="G122" s="91"/>
      <c r="H122" s="29"/>
      <c r="I122" s="39"/>
      <c r="K122" s="558"/>
      <c r="M122" s="22"/>
    </row>
    <row r="123" spans="2:24">
      <c r="B123" s="48" t="str">
        <f>IF(Contents!$B$2=2,"Social support for employees","Социальная поддержка работников")</f>
        <v>Social support for employees</v>
      </c>
      <c r="C123" s="49"/>
      <c r="D123" s="50"/>
      <c r="E123" s="50"/>
      <c r="F123" s="50"/>
      <c r="G123" s="50"/>
      <c r="H123" s="29"/>
      <c r="I123" s="39"/>
      <c r="K123" s="558"/>
      <c r="M123" s="22"/>
    </row>
    <row r="124" spans="2:24" ht="36">
      <c r="B124" s="52" t="str">
        <f>IF(Contents!$B$2=2,"Percentage of employees covered by collective bargaining agreements from the average number of employees","Доля работников, охваченных коллективным договором, в среднесписочной численности работников")</f>
        <v>Percentage of employees covered by collective bargaining agreements from the average number of employees</v>
      </c>
      <c r="C124" s="53" t="s">
        <v>7</v>
      </c>
      <c r="D124" s="91">
        <v>90</v>
      </c>
      <c r="E124" s="91">
        <v>89</v>
      </c>
      <c r="F124" s="91">
        <v>90</v>
      </c>
      <c r="G124" s="793">
        <v>83</v>
      </c>
      <c r="H124" s="29"/>
      <c r="I124" s="56" t="str">
        <f>IF(Contents!$B$2=2,"PBCS 33","СОКБ 33")</f>
        <v>PBCS 33</v>
      </c>
      <c r="K124" s="558">
        <v>2</v>
      </c>
      <c r="M124" s="22"/>
    </row>
    <row r="125" spans="2:24" ht="36">
      <c r="B125" s="52" t="str">
        <f>IF(Contents!$B$2=2,"Expenses on organising and holding social, including sporting events for employees and their family members","Расходы на организацию и проведение социальных, в том числе спортивных мероприятий для работников и членов их семей")</f>
        <v>Expenses on organising and holding social, including sporting events for employees and their family members</v>
      </c>
      <c r="C125" s="53" t="str">
        <f>IF(Contents!$B$2=2,"RR th.","тыс. руб.")</f>
        <v>RR th.</v>
      </c>
      <c r="D125" s="107">
        <v>2340000</v>
      </c>
      <c r="E125" s="107">
        <v>3636700</v>
      </c>
      <c r="F125" s="107">
        <v>4378510</v>
      </c>
      <c r="G125" s="793">
        <v>4238000</v>
      </c>
      <c r="H125" s="29"/>
      <c r="I125" s="56" t="str">
        <f>IF(Contents!$B$2=2,"PBCS 28","СОКБ 28")</f>
        <v>PBCS 28</v>
      </c>
      <c r="K125" s="558">
        <v>2</v>
      </c>
      <c r="M125" s="22"/>
    </row>
    <row r="126" spans="2:24">
      <c r="B126" s="87" t="str">
        <f>IF(Contents!$B$2=2,"average per employee (average number of employees)","в среднем на одного работника (на среднесписочную численность работников)")</f>
        <v>average per employee (average number of employees)</v>
      </c>
      <c r="C126" s="53" t="str">
        <f>IF(Contents!$B$2=2,"RR th.","тыс. руб.")</f>
        <v>RR th.</v>
      </c>
      <c r="D126" s="38">
        <v>125</v>
      </c>
      <c r="E126" s="38">
        <v>183</v>
      </c>
      <c r="F126" s="38">
        <v>207</v>
      </c>
      <c r="G126" s="89">
        <v>187</v>
      </c>
      <c r="H126" s="29"/>
      <c r="I126" s="56" t="str">
        <f>IF(Contents!$B$2=2,"PBCS 28","СОКБ 28")</f>
        <v>PBCS 28</v>
      </c>
      <c r="K126" s="558">
        <v>2</v>
      </c>
      <c r="M126" s="22"/>
    </row>
    <row r="127" spans="2:24" ht="36">
      <c r="B127" s="52" t="str">
        <f>IF(Contents!$B$2=2,"Expenses on organising and implementing healthcare initiatives for employees and their family members","Расходы на организацию и проведение медицинских мероприятий для работников и членов их семей")</f>
        <v>Expenses on organising and implementing healthcare initiatives for employees and their family members</v>
      </c>
      <c r="C127" s="53" t="str">
        <f>IF(Contents!$B$2=2,"RR th.","тыс. руб.")</f>
        <v>RR th.</v>
      </c>
      <c r="D127" s="107">
        <v>651600</v>
      </c>
      <c r="E127" s="107">
        <v>822100</v>
      </c>
      <c r="F127" s="107">
        <v>1214500</v>
      </c>
      <c r="G127" s="793">
        <v>1296000</v>
      </c>
      <c r="H127" s="29"/>
      <c r="I127" s="56" t="str">
        <f>IF(Contents!$B$2=2,"PBCS 36","СОКБ 36")</f>
        <v>PBCS 36</v>
      </c>
      <c r="K127" s="558">
        <v>2</v>
      </c>
      <c r="M127" s="22"/>
    </row>
    <row r="128" spans="2:24">
      <c r="B128" s="87" t="str">
        <f>IF(Contents!$B$2=2,"average per employee (average number of employees)","в среднем на одного работника (на среднесписочную численность работников)")</f>
        <v>average per employee (average number of employees)</v>
      </c>
      <c r="C128" s="53" t="str">
        <f>IF(Contents!$B$2=2,"RR th.","тыс. руб.")</f>
        <v>RR th.</v>
      </c>
      <c r="D128" s="38">
        <v>35</v>
      </c>
      <c r="E128" s="38">
        <v>41</v>
      </c>
      <c r="F128" s="38">
        <v>57</v>
      </c>
      <c r="G128" s="89">
        <v>57</v>
      </c>
      <c r="H128" s="96"/>
      <c r="I128" s="56" t="str">
        <f>IF(Contents!$B$2=2,"PBCS 36","СОКБ 36")</f>
        <v>PBCS 36</v>
      </c>
      <c r="K128" s="558">
        <v>2</v>
      </c>
      <c r="M128" s="22"/>
    </row>
    <row r="129" spans="2:13">
      <c r="B129" s="52" t="str">
        <f>IF(Contents!$B$2=2,"Costs to reintegrate (provide vocational rehabilitation to) employees with disabilities","Расходы на реинтеграцию (профессиональную реабилитацию) работников, получивших статус инвалидов")</f>
        <v>Costs to reintegrate (provide vocational rehabilitation to) employees with disabilities</v>
      </c>
      <c r="C129" s="53" t="str">
        <f>IF(Contents!$B$2=2,"RR th.","тыс. руб.")</f>
        <v>RR th.</v>
      </c>
      <c r="D129" s="91" t="s">
        <v>185</v>
      </c>
      <c r="E129" s="91" t="s">
        <v>185</v>
      </c>
      <c r="F129" s="91" t="s">
        <v>185</v>
      </c>
      <c r="G129" s="793" t="s">
        <v>185</v>
      </c>
      <c r="H129" s="29"/>
      <c r="I129" s="56" t="str">
        <f>IF(Contents!$B$2=2,"PBCS 22","СОКБ 22")</f>
        <v>PBCS 22</v>
      </c>
      <c r="K129" s="558">
        <v>2</v>
      </c>
      <c r="M129" s="22"/>
    </row>
    <row r="130" spans="2:13">
      <c r="B130" s="115"/>
      <c r="C130" s="115"/>
      <c r="D130" s="91"/>
      <c r="E130" s="91"/>
      <c r="F130" s="91"/>
      <c r="G130" s="91"/>
      <c r="H130" s="29"/>
      <c r="I130" s="39"/>
      <c r="K130" s="558"/>
      <c r="M130" s="22"/>
    </row>
    <row r="131" spans="2:13">
      <c r="B131" s="48" t="str">
        <f>IF(Contents!$B$2=2,"Personnel training and development","Обучение и развитие персонала")</f>
        <v>Personnel training and development</v>
      </c>
      <c r="C131" s="49"/>
      <c r="D131" s="50"/>
      <c r="E131" s="50"/>
      <c r="F131" s="50"/>
      <c r="G131" s="50"/>
      <c r="H131" s="29"/>
      <c r="I131" s="39"/>
      <c r="K131" s="558"/>
      <c r="M131" s="22"/>
    </row>
    <row r="132" spans="2:13">
      <c r="B132" s="52" t="str">
        <f>IF(Contents!$B$2=2,"Expenses on employee training","Расходы на обучение работников")</f>
        <v>Expenses on employee training</v>
      </c>
      <c r="C132" s="53" t="str">
        <f>IF(Contents!$B$2=2,"RR th.","тыс. руб.")</f>
        <v>RR th.</v>
      </c>
      <c r="D132" s="101">
        <v>80500</v>
      </c>
      <c r="E132" s="101">
        <v>174500</v>
      </c>
      <c r="F132" s="101">
        <v>198000</v>
      </c>
      <c r="G132" s="204">
        <v>217000</v>
      </c>
      <c r="H132" s="29"/>
      <c r="I132" s="56" t="str">
        <f>IF(Contents!$B$2=2,"PBCS 31","СОКБ 31")</f>
        <v>PBCS 31</v>
      </c>
      <c r="K132" s="558">
        <v>1</v>
      </c>
      <c r="M132" s="22"/>
    </row>
    <row r="133" spans="2:13">
      <c r="B133" s="87" t="str">
        <f>IF(Contents!$B$2=2,"average per employee (average number of employees)","в среднем на одного работника (на среднесписочную численность работников)")</f>
        <v>average per employee (average number of employees)</v>
      </c>
      <c r="C133" s="53" t="str">
        <f>IF(Contents!$B$2=2,"RR th.","тыс. руб.")</f>
        <v>RR th.</v>
      </c>
      <c r="D133" s="378">
        <v>4.3</v>
      </c>
      <c r="E133" s="378">
        <v>8.8000000000000007</v>
      </c>
      <c r="F133" s="378">
        <v>9.4</v>
      </c>
      <c r="G133" s="97">
        <v>9.6</v>
      </c>
      <c r="H133" s="29"/>
      <c r="I133" s="56" t="str">
        <f>IF(Contents!$B$2=2,"PBCS 31","СОКБ 31")</f>
        <v>PBCS 31</v>
      </c>
      <c r="K133" s="558">
        <v>1</v>
      </c>
      <c r="M133" s="22"/>
    </row>
    <row r="134" spans="2:13" ht="36">
      <c r="B134" s="52" t="str">
        <f>IF(Contents!$B$2=2,"Average number of training hours per year per employee (per headcount at the end of the year)","Среднее количество часов обучения в год на одного работника (на списочную численность на конец года)")</f>
        <v>Average number of training hours per year per employee (per headcount at the end of the year)</v>
      </c>
      <c r="C134" s="53" t="str">
        <f>IF(Contents!$B$2=2,"hour / people","часов / человека")</f>
        <v>hour / people</v>
      </c>
      <c r="D134" s="107">
        <v>54</v>
      </c>
      <c r="E134" s="107">
        <v>54</v>
      </c>
      <c r="F134" s="107">
        <v>59</v>
      </c>
      <c r="G134" s="793">
        <v>47</v>
      </c>
      <c r="H134" s="29"/>
      <c r="I134" s="56" t="str">
        <f>IF(Contents!$B$2=2,"PBCS 32","СОКБ 32")</f>
        <v>PBCS 32</v>
      </c>
      <c r="K134" s="558">
        <v>1</v>
      </c>
      <c r="M134" s="22"/>
    </row>
    <row r="135" spans="2:13">
      <c r="B135" s="52"/>
      <c r="C135" s="53"/>
      <c r="D135" s="91"/>
      <c r="E135" s="91"/>
      <c r="F135" s="91"/>
      <c r="G135" s="91"/>
      <c r="H135" s="29"/>
      <c r="I135" s="39"/>
      <c r="K135" s="558"/>
      <c r="M135" s="22"/>
    </row>
    <row r="136" spans="2:13">
      <c r="B136" s="48" t="str">
        <f>IF(Contents!$B$2=2,"Compliance with labour legislation","Соблюдение требований трудового законодательства")</f>
        <v>Compliance with labour legislation</v>
      </c>
      <c r="C136" s="49"/>
      <c r="D136" s="50"/>
      <c r="E136" s="50"/>
      <c r="F136" s="50"/>
      <c r="G136" s="50"/>
      <c r="H136" s="29"/>
      <c r="I136" s="39"/>
      <c r="K136" s="558"/>
      <c r="M136" s="22"/>
    </row>
    <row r="137" spans="2:13" ht="36">
      <c r="B137" s="52" t="str">
        <f>IF(Contents!$B$2=2,"Fines and penalties imposed and measures taken in connection with violations of labour legislation and other acts containing labour law norms","Наложенные штрафы и меры ответственности в связи с нарушением трудового законодательства и иных актов, содержащих нормы трудового права")</f>
        <v>Fines and penalties imposed and measures taken in connection with violations of labour legislation and other acts containing labour law norms</v>
      </c>
      <c r="C137" s="53" t="str">
        <f>IF(Contents!$B$2=2,"RR th.","тыс. руб.")</f>
        <v>RR th.</v>
      </c>
      <c r="D137" s="96" t="s">
        <v>185</v>
      </c>
      <c r="E137" s="96" t="s">
        <v>185</v>
      </c>
      <c r="F137" s="96">
        <v>0</v>
      </c>
      <c r="G137" s="95">
        <v>0</v>
      </c>
      <c r="H137" s="29"/>
      <c r="I137" s="56" t="str">
        <f>IF(Contents!$B$2=2,"PBCS 38","СОКБ 38")</f>
        <v>PBCS 38</v>
      </c>
      <c r="K137" s="558">
        <v>1</v>
      </c>
      <c r="M137" s="22"/>
    </row>
    <row r="138" spans="2:13">
      <c r="B138" s="52"/>
      <c r="C138" s="53"/>
      <c r="D138" s="82"/>
      <c r="E138" s="82"/>
      <c r="F138" s="82"/>
      <c r="G138" s="82"/>
      <c r="H138" s="29"/>
      <c r="I138" s="39"/>
      <c r="K138" s="558"/>
      <c r="M138" s="22"/>
    </row>
    <row r="139" spans="2:13">
      <c r="B139" s="48" t="str">
        <f>IF(Contents!$B$2=2,"Occupational health and safety (OHS)","Охрана труда и промышленная безопасность (ОТиПБ)")</f>
        <v>Occupational health and safety (OHS)</v>
      </c>
      <c r="C139" s="49"/>
      <c r="D139" s="50"/>
      <c r="E139" s="50"/>
      <c r="F139" s="50"/>
      <c r="G139" s="50"/>
      <c r="H139" s="29"/>
      <c r="I139" s="39"/>
      <c r="K139" s="558"/>
      <c r="M139" s="22"/>
    </row>
    <row r="140" spans="2:13" ht="36">
      <c r="B140" s="750" t="str">
        <f>IF(Contents!$B$2=2,"Lost Time Injury Frequency Rate (LTIFR) per 1,000,000 man-hours for the organization's personnel excluding contractor personnel","Коэффициент частоты производственного травматизма персонала организации без учета персонала подрядчиков (LTIFR) на 1 000 000 человеко-часов")</f>
        <v>Lost Time Injury Frequency Rate (LTIFR) per 1,000,000 man-hours for the organization's personnel excluding contractor personnel</v>
      </c>
      <c r="C140" s="754" t="str">
        <f>IF(Contents!$B$2=2,"rate","коэффициент")</f>
        <v>rate</v>
      </c>
      <c r="D140" s="753">
        <v>0.4</v>
      </c>
      <c r="E140" s="753">
        <v>0.28000000000000003</v>
      </c>
      <c r="F140" s="753">
        <v>0.26</v>
      </c>
      <c r="G140" s="902">
        <v>0.19</v>
      </c>
      <c r="I140" s="56" t="str">
        <f>IF(Contents!$B$2=2,"PBCS 29","СОКБ 29")</f>
        <v>PBCS 29</v>
      </c>
      <c r="K140" s="56">
        <v>1</v>
      </c>
    </row>
    <row r="141" spans="2:13">
      <c r="B141" s="52" t="str">
        <f>IF(Contents!$B$2=2,"Number of fatalities of the organization's employees, excluding contractor personnel","Количество смертельных случаев работников организации без учета персонала подрядчиков")</f>
        <v>Number of fatalities of the organization's employees, excluding contractor personnel</v>
      </c>
      <c r="C141" s="53" t="str">
        <f>IF(Contents!$B$2=2,"unit","ед.")</f>
        <v>unit</v>
      </c>
      <c r="D141" s="82">
        <v>1</v>
      </c>
      <c r="E141" s="82">
        <v>2</v>
      </c>
      <c r="F141" s="82">
        <v>2</v>
      </c>
      <c r="G141" s="900">
        <v>0</v>
      </c>
      <c r="I141" s="56" t="str">
        <f>IF(Contents!$B$2=2,"PBCS 30","СОКБ 30")</f>
        <v>PBCS 30</v>
      </c>
      <c r="K141" s="56">
        <v>1</v>
      </c>
      <c r="M141" s="22"/>
    </row>
    <row r="142" spans="2:13" ht="36" customHeight="1">
      <c r="B142" s="52"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Expenses on labor protection and industrial safety, fire safety and security of facilities</v>
      </c>
      <c r="C142" s="53" t="str">
        <f>IF(Contents!$B$2=2,"RR th.","тыс. руб.")</f>
        <v>RR th.</v>
      </c>
      <c r="D142" s="100">
        <v>3600000</v>
      </c>
      <c r="E142" s="96">
        <v>5029318</v>
      </c>
      <c r="F142" s="96">
        <v>6629925</v>
      </c>
      <c r="G142" s="95">
        <v>7193000</v>
      </c>
      <c r="I142" s="56" t="str">
        <f>IF(Contents!$B$2=2,"PBCS 27","СОКБ 27")</f>
        <v>PBCS 27</v>
      </c>
      <c r="K142" s="56">
        <v>3</v>
      </c>
    </row>
    <row r="143" spans="2:13">
      <c r="B143" s="87" t="str">
        <f>IF(Contents!$B$2=2,"average per employee (average number of employees)","в среднем на одного работника (на среднесписочную численность работников)")</f>
        <v>average per employee (average number of employees)</v>
      </c>
      <c r="C143" s="53" t="str">
        <f>IF(Contents!$B$2=2,"RR th.","тыс. руб.")</f>
        <v>RR th.</v>
      </c>
      <c r="D143" s="777">
        <v>192</v>
      </c>
      <c r="E143" s="777">
        <v>253</v>
      </c>
      <c r="F143" s="777">
        <v>313</v>
      </c>
      <c r="G143" s="913">
        <v>318</v>
      </c>
      <c r="I143" s="56" t="str">
        <f>IF(Contents!$B$2=2,"PBCS 27","СОКБ 27")</f>
        <v>PBCS 27</v>
      </c>
      <c r="K143" s="56">
        <v>2</v>
      </c>
    </row>
    <row r="144" spans="2:13">
      <c r="B144" s="87"/>
      <c r="C144" s="53"/>
      <c r="D144" s="82"/>
      <c r="E144" s="82"/>
      <c r="F144" s="82"/>
      <c r="G144" s="82"/>
      <c r="H144" s="29"/>
      <c r="I144" s="39"/>
      <c r="K144" s="558"/>
      <c r="M144" s="22"/>
    </row>
    <row r="145" spans="2:13">
      <c r="B145" s="48" t="str">
        <f>IF(Contents!$B$2=2,"External social Expenses","Внешние социальные расходы")</f>
        <v>External social Expenses</v>
      </c>
      <c r="C145" s="49"/>
      <c r="D145" s="50"/>
      <c r="E145" s="50"/>
      <c r="F145" s="50"/>
      <c r="G145" s="50"/>
      <c r="H145" s="29"/>
      <c r="I145" s="39"/>
      <c r="K145" s="558"/>
      <c r="M145" s="22"/>
    </row>
    <row r="146" spans="2:13" ht="36">
      <c r="B146" s="52" t="str">
        <f>IF(Contents!$B$2=2,"Expenses on participation in support of social, including charitable programs not aimed at employees and their family members","Расходы на участие в поддержке социальных, в том числе благотворительных программ, не направленных на работников и членов их семей")</f>
        <v>Expenses on participation in support of social, including charitable programs not aimed at employees and their family members</v>
      </c>
      <c r="C146" s="53" t="str">
        <f>IF(Contents!$B$2=2,"RR th.","тыс. руб.")</f>
        <v>RR th.</v>
      </c>
      <c r="D146" s="99" t="s">
        <v>185</v>
      </c>
      <c r="E146" s="102">
        <v>2523012</v>
      </c>
      <c r="F146" s="102">
        <v>2227183</v>
      </c>
      <c r="G146" s="102">
        <v>2251700</v>
      </c>
      <c r="H146" s="29"/>
      <c r="I146" s="56" t="str">
        <f>IF(Contents!$B$2=2,"PBCS 35","СОКБ 35")</f>
        <v>PBCS 35</v>
      </c>
      <c r="K146" s="56">
        <v>2</v>
      </c>
      <c r="M146" s="22"/>
    </row>
    <row r="147" spans="2:13">
      <c r="B147" s="23" t="str">
        <f>IF(Contents!$B$2=2,"by area","по сферам")</f>
        <v>by area</v>
      </c>
      <c r="C147" s="77"/>
      <c r="D147" s="84"/>
      <c r="E147" s="84"/>
      <c r="F147" s="84"/>
      <c r="G147" s="84"/>
      <c r="H147" s="29"/>
      <c r="I147" s="39"/>
      <c r="K147" s="558"/>
      <c r="M147" s="22"/>
    </row>
    <row r="148" spans="2:13">
      <c r="B148" s="87" t="str">
        <f>IF(Contents!$B$2=2,"Healthcare","Здравоохранение")</f>
        <v>Healthcare</v>
      </c>
      <c r="C148" s="53" t="str">
        <f>IF(Contents!$B$2=2,"RR th.","тыс. руб.")</f>
        <v>RR th.</v>
      </c>
      <c r="D148" s="99" t="s">
        <v>185</v>
      </c>
      <c r="E148" s="102">
        <v>28200</v>
      </c>
      <c r="F148" s="58">
        <v>66800</v>
      </c>
      <c r="G148" s="98">
        <v>337300</v>
      </c>
      <c r="H148" s="29"/>
      <c r="I148" s="56" t="str">
        <f>IF(Contents!$B$2=2,"PBCS 35","СОКБ 35")</f>
        <v>PBCS 35</v>
      </c>
      <c r="K148" s="56">
        <v>2</v>
      </c>
      <c r="M148" s="22"/>
    </row>
    <row r="149" spans="2:13">
      <c r="B149" s="87" t="str">
        <f>IF(Contents!$B$2=2,"Education and science","Образование и наука")</f>
        <v>Education and science</v>
      </c>
      <c r="C149" s="53" t="str">
        <f>IF(Contents!$B$2=2,"RR th.","тыс. руб.")</f>
        <v>RR th.</v>
      </c>
      <c r="D149" s="99" t="s">
        <v>185</v>
      </c>
      <c r="E149" s="102">
        <v>37500</v>
      </c>
      <c r="F149" s="58">
        <v>52400</v>
      </c>
      <c r="G149" s="98">
        <v>101500</v>
      </c>
      <c r="H149" s="29"/>
      <c r="I149" s="56" t="str">
        <f>IF(Contents!$B$2=2,"PBCS 35","СОКБ 35")</f>
        <v>PBCS 35</v>
      </c>
      <c r="K149" s="56">
        <v>2</v>
      </c>
      <c r="M149" s="22"/>
    </row>
    <row r="150" spans="2:13">
      <c r="B150" s="87" t="str">
        <f>IF(Contents!$B$2=2,"Sports","Спорт")</f>
        <v>Sports</v>
      </c>
      <c r="C150" s="53" t="str">
        <f>IF(Contents!$B$2=2,"RR th.","тыс. руб.")</f>
        <v>RR th.</v>
      </c>
      <c r="D150" s="99" t="s">
        <v>185</v>
      </c>
      <c r="E150" s="102">
        <v>54200</v>
      </c>
      <c r="F150" s="58">
        <v>73600</v>
      </c>
      <c r="G150" s="98">
        <v>99900</v>
      </c>
      <c r="H150" s="29"/>
      <c r="I150" s="56" t="str">
        <f>IF(Contents!$B$2=2,"PBCS 35","СОКБ 35")</f>
        <v>PBCS 35</v>
      </c>
      <c r="K150" s="56">
        <v>2</v>
      </c>
      <c r="M150" s="22"/>
    </row>
    <row r="151" spans="2:13">
      <c r="B151" s="87" t="str">
        <f>IF(Contents!$B$2=2,"Culture and arts","Культура и искусство")</f>
        <v>Culture and arts</v>
      </c>
      <c r="C151" s="53" t="str">
        <f>IF(Contents!$B$2=2,"RR th.","тыс. руб.")</f>
        <v>RR th.</v>
      </c>
      <c r="D151" s="99" t="s">
        <v>185</v>
      </c>
      <c r="E151" s="102">
        <v>1200</v>
      </c>
      <c r="F151" s="58">
        <v>234900</v>
      </c>
      <c r="G151" s="98">
        <v>219400</v>
      </c>
      <c r="H151" s="29"/>
      <c r="I151" s="56" t="str">
        <f>IF(Contents!$B$2=2,"PBCS 35","СОКБ 35")</f>
        <v>PBCS 35</v>
      </c>
      <c r="K151" s="56">
        <v>2</v>
      </c>
      <c r="M151" s="22"/>
    </row>
    <row r="152" spans="2:13">
      <c r="B152" s="87" t="str">
        <f>IF(Contents!$B$2=2,"Improvement and development of a comfortable urban environment","Благоустройство и развитие комфортной городской среды")</f>
        <v>Improvement and development of a comfortable urban environment</v>
      </c>
      <c r="C152" s="53" t="str">
        <f>IF(Contents!$B$2=2,"RR th.","тыс. руб.")</f>
        <v>RR th.</v>
      </c>
      <c r="D152" s="99" t="s">
        <v>185</v>
      </c>
      <c r="E152" s="96">
        <v>2401912</v>
      </c>
      <c r="F152" s="96">
        <v>1799483</v>
      </c>
      <c r="G152" s="98">
        <v>1493600</v>
      </c>
      <c r="H152" s="29"/>
      <c r="I152" s="56" t="str">
        <f>IF(Contents!$B$2=2,"PBCS 35","СОКБ 35")</f>
        <v>PBCS 35</v>
      </c>
      <c r="K152" s="56">
        <v>2</v>
      </c>
      <c r="M152" s="22"/>
    </row>
    <row r="153" spans="2:13">
      <c r="B153" s="115" t="s">
        <v>11</v>
      </c>
      <c r="C153" s="115" t="s">
        <v>38</v>
      </c>
      <c r="D153" s="99"/>
      <c r="E153" s="99"/>
      <c r="F153" s="99"/>
      <c r="G153" s="99"/>
      <c r="H153" s="29"/>
      <c r="I153" s="39"/>
      <c r="K153" s="558"/>
      <c r="M153" s="22"/>
    </row>
    <row r="154" spans="2:13">
      <c r="B154" s="48" t="str">
        <f>IF(Contents!$B$2=2,"Corporate volunteering","Корпоративное волонтерство")</f>
        <v>Corporate volunteering</v>
      </c>
      <c r="C154" s="49"/>
      <c r="D154" s="50"/>
      <c r="E154" s="50"/>
      <c r="F154" s="50"/>
      <c r="G154" s="50"/>
      <c r="H154" s="29"/>
      <c r="I154" s="39"/>
      <c r="K154" s="558"/>
      <c r="M154" s="22"/>
    </row>
    <row r="155" spans="2:13" ht="36">
      <c r="B155" s="52" t="str">
        <f>IF(Contents!$B$2=2,"Percentage of employees participating in corporate volunteering projects (average number of employees)","Доля работников, принимающих участие в проектах корпоративного добровольчества (волонтерства) (на среднесписочную численность работников)")</f>
        <v>Percentage of employees participating in corporate volunteering projects (average number of employees)</v>
      </c>
      <c r="C155" s="53" t="s">
        <v>7</v>
      </c>
      <c r="D155" s="37" t="s">
        <v>185</v>
      </c>
      <c r="E155" s="37" t="s">
        <v>185</v>
      </c>
      <c r="F155" s="37">
        <v>6.6</v>
      </c>
      <c r="G155" s="903">
        <v>10</v>
      </c>
      <c r="I155" s="56" t="str">
        <f>IF(Contents!$B$2=2,"PBCS 37","СОКБ 37")</f>
        <v>PBCS 37</v>
      </c>
      <c r="K155" s="558">
        <v>1</v>
      </c>
    </row>
    <row r="156" spans="2:13">
      <c r="B156" s="697" t="str">
        <f>IF(Contents!$B$2=2, "Number of volunteer projects", "Количество волонтерских проектов")</f>
        <v>Number of volunteer projects</v>
      </c>
      <c r="C156" s="447" t="str">
        <f>IF(Contents!$B$2=2,"unit","ед.")</f>
        <v>unit</v>
      </c>
      <c r="D156" s="696" t="s">
        <v>185</v>
      </c>
      <c r="E156" s="696" t="s">
        <v>185</v>
      </c>
      <c r="F156" s="58">
        <v>7</v>
      </c>
      <c r="G156" s="98">
        <v>8</v>
      </c>
      <c r="H156" s="29"/>
      <c r="I156" s="56" t="str">
        <f>IF(Contents!$B$2=2,"PBCS 37","СОКБ 37")</f>
        <v>PBCS 37</v>
      </c>
      <c r="K156" s="558">
        <v>1</v>
      </c>
      <c r="M156" s="22"/>
    </row>
    <row r="157" spans="2:13">
      <c r="B157" s="25" t="str">
        <f>IF(Contents!$B$2=2,"Notes:","Примечания:")</f>
        <v>Notes:</v>
      </c>
      <c r="C157" s="53"/>
      <c r="D157" s="99"/>
      <c r="E157" s="99"/>
      <c r="F157" s="99"/>
      <c r="G157" s="99"/>
      <c r="H157" s="29"/>
      <c r="I157" s="56"/>
      <c r="K157" s="558"/>
      <c r="M157" s="22"/>
    </row>
    <row r="158" spans="2:13">
      <c r="B158" s="26" t="str">
        <f>IF(Contents!$B$2=2,"Employees who took part in environmental clean-ups and events are taken into account when calculating the Percentage of employee volunteers.","В расчете доли волонтеров среди работников учтены работники, принявшие участие в экологических субботниках и мероприятиях.")</f>
        <v>Employees who took part in environmental clean-ups and events are taken into account when calculating the Percentage of employee volunteers.</v>
      </c>
      <c r="C158" s="53"/>
      <c r="D158" s="82"/>
      <c r="E158" s="82"/>
      <c r="F158" s="82"/>
      <c r="G158" s="82"/>
      <c r="H158" s="29"/>
      <c r="I158" s="39"/>
      <c r="K158" s="558"/>
      <c r="M158" s="22"/>
    </row>
    <row r="159" spans="2:13">
      <c r="B159" s="26"/>
      <c r="C159" s="53"/>
      <c r="D159" s="82"/>
      <c r="E159" s="82"/>
      <c r="F159" s="82"/>
      <c r="G159" s="82"/>
      <c r="H159" s="29"/>
      <c r="I159" s="39"/>
      <c r="K159" s="558"/>
      <c r="M159" s="22"/>
    </row>
    <row r="160" spans="2:13">
      <c r="B160" s="48" t="str">
        <f>IF(Contents!$B$2=2,"Family and parenthood support ","Поддержка семьи и родительства")</f>
        <v xml:space="preserve">Family and parenthood support </v>
      </c>
      <c r="C160" s="49"/>
      <c r="D160" s="50"/>
      <c r="E160" s="50"/>
      <c r="F160" s="50"/>
      <c r="G160" s="50"/>
      <c r="H160" s="29"/>
      <c r="I160" s="39"/>
      <c r="K160" s="558"/>
      <c r="M160" s="22"/>
    </row>
    <row r="161" spans="2:18" ht="36">
      <c r="B161" s="52" t="str">
        <f>IF(Contents!$B$2=2,"Percentage of employees participating in corporate volunteering projects, and the total number of corporate volunteering projects","Среднее число детей в возрасте до 6 лет на одного сотрудника")</f>
        <v>Percentage of employees participating in corporate volunteering projects, and the total number of corporate volunteering projects</v>
      </c>
      <c r="C161" s="53" t="str">
        <f>IF(Contents!$B$2=2,"people","человек")</f>
        <v>people</v>
      </c>
      <c r="D161" s="37" t="s">
        <v>185</v>
      </c>
      <c r="E161" s="37" t="s">
        <v>185</v>
      </c>
      <c r="F161" s="37" t="s">
        <v>185</v>
      </c>
      <c r="G161" s="903">
        <v>0.3</v>
      </c>
      <c r="I161" s="56" t="str">
        <f>IF(Contents!$B$2=2,"PBCS 39","СОКБ 39")</f>
        <v>PBCS 39</v>
      </c>
      <c r="K161" s="558">
        <v>1</v>
      </c>
      <c r="M161" s="22"/>
    </row>
    <row r="162" spans="2:18">
      <c r="B162" s="697" t="str">
        <f>IF(Contents!$B$2=2, "Average number of children per employee", "Среднее число детей на одного работника")</f>
        <v>Average number of children per employee</v>
      </c>
      <c r="C162" s="53" t="str">
        <f>IF(Contents!$B$2=2,"people","человек")</f>
        <v>people</v>
      </c>
      <c r="D162" s="696" t="s">
        <v>185</v>
      </c>
      <c r="E162" s="696" t="s">
        <v>185</v>
      </c>
      <c r="F162" s="37" t="s">
        <v>185</v>
      </c>
      <c r="G162" s="98">
        <v>1</v>
      </c>
      <c r="H162" s="29"/>
      <c r="I162" s="56" t="str">
        <f>IF(Contents!$B$2=2,"PBCS 40","СОКБ 40")</f>
        <v>PBCS 40</v>
      </c>
      <c r="K162" s="558">
        <v>1</v>
      </c>
      <c r="M162" s="22"/>
    </row>
    <row r="163" spans="2:18">
      <c r="B163" s="697" t="str">
        <f>IF(Contents!$B$2=2,"Percentage of parents having three or more children in the total number of employees", "Доля многодетных родителей от общего числа сотрудников")</f>
        <v>Percentage of parents having three or more children in the total number of employees</v>
      </c>
      <c r="C163" s="53" t="s">
        <v>7</v>
      </c>
      <c r="D163" s="696" t="s">
        <v>185</v>
      </c>
      <c r="E163" s="696" t="s">
        <v>185</v>
      </c>
      <c r="F163" s="37" t="s">
        <v>185</v>
      </c>
      <c r="G163" s="903" t="s">
        <v>185</v>
      </c>
      <c r="H163" s="29"/>
      <c r="I163" s="56" t="str">
        <f>IF(Contents!$B$2=2,"PBCS 41","СОКБ 41")</f>
        <v>PBCS 41</v>
      </c>
      <c r="K163" s="558">
        <v>1</v>
      </c>
      <c r="M163" s="22"/>
    </row>
    <row r="164" spans="2:18">
      <c r="B164" s="697" t="str">
        <f>IF(Contents!$B$2=2, "Percentage of employees being in a registered marriage", "Доля работников, состоящих в зарегистрированном браке")</f>
        <v>Percentage of employees being in a registered marriage</v>
      </c>
      <c r="C164" s="53" t="s">
        <v>7</v>
      </c>
      <c r="D164" s="696" t="s">
        <v>185</v>
      </c>
      <c r="E164" s="696" t="s">
        <v>185</v>
      </c>
      <c r="F164" s="37" t="s">
        <v>185</v>
      </c>
      <c r="G164" s="900">
        <v>74</v>
      </c>
      <c r="H164" s="29"/>
      <c r="I164" s="56" t="str">
        <f>IF(Contents!$B$2=2,"PBCS 42","СОКБ 42")</f>
        <v>PBCS 42</v>
      </c>
      <c r="K164" s="558">
        <v>1</v>
      </c>
      <c r="M164" s="22"/>
    </row>
    <row r="165" spans="2:18" ht="36">
      <c r="B165" s="52" t="str">
        <f>IF(Contents!$B$2=2,Q165,P165)</f>
        <v>Amount of the one-time payment (including in the form of financial assistance) to employees after a birth of a child paid during the first year after the birth of the child</v>
      </c>
      <c r="C165" s="53" t="str">
        <f>IF(Contents!$B$2=2,"RR th.","тыс. руб.")</f>
        <v>RR th.</v>
      </c>
      <c r="D165" s="99" t="s">
        <v>185</v>
      </c>
      <c r="E165" s="99" t="s">
        <v>185</v>
      </c>
      <c r="F165" s="99" t="s">
        <v>185</v>
      </c>
      <c r="G165" s="904" t="s">
        <v>241</v>
      </c>
      <c r="H165" s="29"/>
      <c r="I165" s="56" t="str">
        <f>IF(Contents!$B$2=2,"PBCS 35","СОКБ 35")</f>
        <v>PBCS 35</v>
      </c>
      <c r="K165" s="558">
        <v>1</v>
      </c>
      <c r="M165" s="22"/>
      <c r="P165" s="117" t="s">
        <v>200</v>
      </c>
      <c r="Q165" s="117" t="s">
        <v>199</v>
      </c>
      <c r="R165" s="117"/>
    </row>
    <row r="166" spans="2:18">
      <c r="B166" s="26"/>
      <c r="C166" s="53"/>
      <c r="D166" s="82"/>
      <c r="E166" s="82"/>
      <c r="F166" s="82"/>
      <c r="G166" s="82"/>
      <c r="H166" s="29"/>
      <c r="I166" s="39"/>
      <c r="K166" s="558"/>
      <c r="M166" s="22"/>
    </row>
    <row r="167" spans="2:18">
      <c r="B167" s="45" t="str">
        <f>IF(Contents!$B$2=2,"Management indicators","Управленческие показатели")</f>
        <v>Management indicators</v>
      </c>
      <c r="C167" s="45"/>
      <c r="D167" s="719"/>
      <c r="E167" s="719"/>
      <c r="F167" s="719"/>
      <c r="G167" s="719"/>
      <c r="H167" s="29"/>
      <c r="I167" s="39"/>
      <c r="K167" s="558"/>
      <c r="M167" s="22"/>
    </row>
    <row r="168" spans="2:18">
      <c r="B168" s="48" t="str">
        <f>IF(Contents!$B$2=2,"Board of Directors","Совет директоров")</f>
        <v>Board of Directors</v>
      </c>
      <c r="C168" s="49"/>
      <c r="D168" s="50"/>
      <c r="E168" s="50"/>
      <c r="F168" s="51"/>
      <c r="G168" s="51"/>
      <c r="H168" s="29"/>
      <c r="I168" s="39"/>
      <c r="K168" s="558"/>
      <c r="M168" s="22"/>
    </row>
    <row r="169" spans="2:18">
      <c r="B169" s="750" t="str">
        <f>IF(Contents!$B$2=2,"Percentage of independent directors in the collegiate management body","Доля независимых директоров в составе коллегиального органа управления")</f>
        <v>Percentage of independent directors in the collegiate management body</v>
      </c>
      <c r="C169" s="53" t="s">
        <v>7</v>
      </c>
      <c r="D169" s="101">
        <v>33</v>
      </c>
      <c r="E169" s="101">
        <v>56</v>
      </c>
      <c r="F169" s="101">
        <v>56</v>
      </c>
      <c r="G169" s="204">
        <v>56</v>
      </c>
      <c r="H169" s="29"/>
      <c r="I169" s="56" t="str">
        <f>IF(Contents!$B$2=2,"PBCS 48","СОКБ 48")</f>
        <v>PBCS 48</v>
      </c>
      <c r="K169" s="558">
        <v>2</v>
      </c>
      <c r="M169" s="22"/>
    </row>
    <row r="170" spans="2:18">
      <c r="B170" s="750" t="str">
        <f>IF(Contents!$B$2=2,"Percentage of female managers in the total number of managers ","Доля женщин–руководителей в общей численности руководителей ")</f>
        <v xml:space="preserve">Percentage of female managers in the total number of managers </v>
      </c>
      <c r="C170" s="53" t="s">
        <v>7</v>
      </c>
      <c r="D170" s="82">
        <v>20</v>
      </c>
      <c r="E170" s="82">
        <v>20</v>
      </c>
      <c r="F170" s="82">
        <v>20</v>
      </c>
      <c r="G170" s="906">
        <v>21</v>
      </c>
      <c r="H170" s="29"/>
      <c r="I170" s="56" t="str">
        <f>IF(Contents!$B$2=2,"PBCS 49","СОКБ 49")</f>
        <v>PBCS 49</v>
      </c>
      <c r="K170" s="558">
        <v>2</v>
      </c>
      <c r="M170" s="22"/>
    </row>
    <row r="171" spans="2:18">
      <c r="B171" s="52" t="str">
        <f>IF(Contents!$B$2=2,"Percentage of female managers in the collegiate management body","Доля женщин-руководителей в коллегиальном органе управления")</f>
        <v>Percentage of female managers in the collegiate management body</v>
      </c>
      <c r="C171" s="53" t="s">
        <v>7</v>
      </c>
      <c r="D171" s="101">
        <v>8</v>
      </c>
      <c r="E171" s="101">
        <v>8</v>
      </c>
      <c r="F171" s="101">
        <v>7</v>
      </c>
      <c r="G171" s="204">
        <v>7</v>
      </c>
      <c r="H171" s="29"/>
      <c r="I171" s="56" t="str">
        <f>IF(Contents!$B$2=2,"PBCS 49","СОКБ 49")</f>
        <v>PBCS 49</v>
      </c>
      <c r="K171" s="558">
        <v>2</v>
      </c>
      <c r="M171" s="22"/>
    </row>
    <row r="172" spans="2:18">
      <c r="B172" s="87"/>
      <c r="C172" s="53"/>
      <c r="D172" s="82"/>
      <c r="E172" s="82"/>
      <c r="F172" s="82"/>
      <c r="G172" s="82"/>
      <c r="H172" s="29"/>
      <c r="I172" s="39"/>
      <c r="K172" s="558"/>
      <c r="M172" s="22"/>
    </row>
    <row r="173" spans="2:18">
      <c r="B173" s="751" t="str">
        <f>IF(Contents!$B$2=2,"Countering corruption","Противодействие коррупции")</f>
        <v>Countering corruption</v>
      </c>
      <c r="C173" s="49"/>
      <c r="D173" s="50"/>
      <c r="E173" s="50"/>
      <c r="F173" s="50"/>
      <c r="G173" s="50"/>
      <c r="H173" s="29"/>
      <c r="I173" s="39"/>
      <c r="K173" s="558"/>
      <c r="M173" s="22"/>
    </row>
    <row r="174" spans="2:18">
      <c r="B174" s="750" t="str">
        <f>IF(Contents!$B$2=2,"Average number of hours of anti-corruption training per employee","Среднее количество часов обучения по вопросам противодействия коррупции на одного работника")</f>
        <v>Average number of hours of anti-corruption training per employee</v>
      </c>
      <c r="C174" s="53" t="str">
        <f>IF(Contents!$B$2=2,"unit","ед.")</f>
        <v>unit</v>
      </c>
      <c r="D174" s="81" t="s">
        <v>185</v>
      </c>
      <c r="E174" s="82">
        <v>0.45</v>
      </c>
      <c r="F174" s="82">
        <v>0.47</v>
      </c>
      <c r="G174" s="900">
        <v>0.49</v>
      </c>
      <c r="H174" s="29"/>
      <c r="I174" s="56" t="str">
        <f>IF(Contents!$B$2=2,"PBCS 52","СОКБ 52")</f>
        <v>PBCS 52</v>
      </c>
      <c r="K174" s="558">
        <v>1</v>
      </c>
      <c r="M174" s="22"/>
    </row>
    <row r="175" spans="2:18">
      <c r="B175" s="52"/>
      <c r="C175" s="53"/>
      <c r="D175" s="82"/>
      <c r="E175" s="82"/>
      <c r="F175" s="82"/>
      <c r="G175" s="82"/>
      <c r="H175" s="29"/>
      <c r="I175" s="39"/>
      <c r="K175" s="558"/>
      <c r="M175" s="22"/>
    </row>
    <row r="176" spans="2:18">
      <c r="B176" s="751" t="str">
        <f>IF(Contents!$B$2=2,"Compliance with legal requirements","Соблюдение требований законодательства")</f>
        <v>Compliance with legal requirements</v>
      </c>
      <c r="C176" s="49"/>
      <c r="D176" s="50"/>
      <c r="E176" s="50"/>
      <c r="F176" s="50"/>
      <c r="G176" s="50"/>
      <c r="H176" s="29"/>
      <c r="I176" s="39"/>
      <c r="K176" s="558"/>
      <c r="M176" s="22"/>
    </row>
    <row r="177" spans="2:18">
      <c r="B177" s="52" t="str">
        <f>IF(Contents!$B$2=2,Q177,P177)</f>
        <v>Amount of claims under lawsuits filed against the issuer as a defendant</v>
      </c>
      <c r="C177" s="53" t="str">
        <f>IF(Contents!$B$2=2,"RR th.","тыс. руб.")</f>
        <v>RR th.</v>
      </c>
      <c r="D177" s="800" t="s">
        <v>185</v>
      </c>
      <c r="E177" s="800" t="s">
        <v>185</v>
      </c>
      <c r="F177" s="800" t="s">
        <v>185</v>
      </c>
      <c r="G177" s="905">
        <v>0</v>
      </c>
      <c r="H177" s="29"/>
      <c r="I177" s="56" t="str">
        <f>IF(Contents!$B$2=2,"PBCS 58","СОКБ 58")</f>
        <v>PBCS 58</v>
      </c>
      <c r="K177" s="558">
        <v>1</v>
      </c>
      <c r="M177" s="22"/>
      <c r="P177" s="117" t="s">
        <v>206</v>
      </c>
      <c r="Q177" s="117" t="s">
        <v>207</v>
      </c>
      <c r="R177" s="117"/>
    </row>
    <row r="178" spans="2:18" ht="36">
      <c r="B178" s="87" t="str">
        <f>IF(Contents!$B$2=2,Q178,P178)</f>
        <v>Under lawsuits against current or former members of the issuer’s management bodies</v>
      </c>
      <c r="C178" s="53" t="str">
        <f>IF(Contents!$B$2=2,"RR th.","тыс. руб.")</f>
        <v>RR th.</v>
      </c>
      <c r="D178" s="800" t="s">
        <v>185</v>
      </c>
      <c r="E178" s="800" t="s">
        <v>185</v>
      </c>
      <c r="F178" s="800" t="s">
        <v>185</v>
      </c>
      <c r="G178" s="905">
        <v>0</v>
      </c>
      <c r="H178" s="29"/>
      <c r="I178" s="56" t="str">
        <f>IF(Contents!$B$2=2,"PBCS 58","СОКБ 58")</f>
        <v>PBCS 58</v>
      </c>
      <c r="K178" s="558"/>
      <c r="M178" s="22"/>
      <c r="P178" s="801" t="s">
        <v>203</v>
      </c>
      <c r="Q178" s="117" t="s">
        <v>208</v>
      </c>
      <c r="R178" s="117"/>
    </row>
    <row r="179" spans="2:18" ht="36">
      <c r="B179" s="87" t="str">
        <f>IF(Contents!$B$2=2,Q179,P179)</f>
        <v>Under lawsuits challenging transactions in accordance with Articles 1731 and 174 of the Civil Code of the Russian Federation</v>
      </c>
      <c r="C179" s="53" t="str">
        <f>IF(Contents!$B$2=2,"RR th.","тыс. руб.")</f>
        <v>RR th.</v>
      </c>
      <c r="D179" s="800" t="s">
        <v>185</v>
      </c>
      <c r="E179" s="800" t="s">
        <v>185</v>
      </c>
      <c r="F179" s="800" t="s">
        <v>185</v>
      </c>
      <c r="G179" s="905">
        <v>0</v>
      </c>
      <c r="H179" s="29"/>
      <c r="I179" s="56" t="str">
        <f>IF(Contents!$B$2=2,"PBCS 58","СОКБ 58")</f>
        <v>PBCS 58</v>
      </c>
      <c r="K179" s="558"/>
      <c r="M179" s="22"/>
      <c r="P179" s="801" t="s">
        <v>204</v>
      </c>
      <c r="Q179" s="117" t="s">
        <v>209</v>
      </c>
      <c r="R179" s="117"/>
    </row>
    <row r="180" spans="2:18" ht="54">
      <c r="B180" s="87" t="str">
        <f>IF(Contents!$B$2=2,Q180,P180)</f>
        <v>Under lawsuits challenging resolutions of the issuer’s management bodies, as well as disputes involving the issuer in other lawsuits related to violation of corporate laws</v>
      </c>
      <c r="C180" s="53" t="str">
        <f>IF(Contents!$B$2=2,"RR th.","тыс. руб.")</f>
        <v>RR th.</v>
      </c>
      <c r="D180" s="800" t="s">
        <v>185</v>
      </c>
      <c r="E180" s="800" t="s">
        <v>185</v>
      </c>
      <c r="F180" s="800" t="s">
        <v>185</v>
      </c>
      <c r="G180" s="905">
        <v>0</v>
      </c>
      <c r="H180" s="29"/>
      <c r="I180" s="56" t="str">
        <f>IF(Contents!$B$2=2,"PBCS 58","СОКБ 58")</f>
        <v>PBCS 58</v>
      </c>
      <c r="K180" s="558"/>
      <c r="M180" s="22"/>
      <c r="P180" s="801" t="s">
        <v>205</v>
      </c>
      <c r="Q180" s="117" t="s">
        <v>210</v>
      </c>
      <c r="R180" s="117"/>
    </row>
    <row r="181" spans="2:18">
      <c r="B181" s="52" t="str">
        <f>IF(Contents!$B$2=2,Q181,P181)</f>
        <v>Amount of satisfied claims under lawsuits involving the issuer as a defendant</v>
      </c>
      <c r="C181" s="53" t="str">
        <f>IF(Contents!$B$2=2,"RR th.","тыс. руб.")</f>
        <v>RR th.</v>
      </c>
      <c r="D181" s="800" t="s">
        <v>185</v>
      </c>
      <c r="E181" s="800" t="s">
        <v>185</v>
      </c>
      <c r="F181" s="800" t="s">
        <v>185</v>
      </c>
      <c r="G181" s="905">
        <v>0</v>
      </c>
      <c r="H181" s="29"/>
      <c r="I181" s="56" t="str">
        <f>IF(Contents!$B$2=2,"PBCS 59","СОКБ 59")</f>
        <v>PBCS 59</v>
      </c>
      <c r="K181" s="558">
        <v>1</v>
      </c>
      <c r="M181" s="22"/>
      <c r="P181" s="117" t="s">
        <v>201</v>
      </c>
      <c r="Q181" s="117" t="s">
        <v>211</v>
      </c>
      <c r="R181" s="117"/>
    </row>
    <row r="182" spans="2:18" ht="36">
      <c r="B182" s="87" t="str">
        <f>IF(Contents!$B$2=2,Q182,P182)</f>
        <v>Under lawsuits against current or former members of the issuer’s management bodies</v>
      </c>
      <c r="C182" s="53" t="str">
        <f>IF(Contents!$B$2=2,"RR th.","тыс. руб.")</f>
        <v>RR th.</v>
      </c>
      <c r="D182" s="800" t="s">
        <v>185</v>
      </c>
      <c r="E182" s="800" t="s">
        <v>185</v>
      </c>
      <c r="F182" s="800" t="s">
        <v>185</v>
      </c>
      <c r="G182" s="905">
        <v>0</v>
      </c>
      <c r="H182" s="29"/>
      <c r="I182" s="56" t="str">
        <f>IF(Contents!$B$2=2,"PBCS 59","СОКБ 59")</f>
        <v>PBCS 59</v>
      </c>
      <c r="K182" s="558"/>
      <c r="M182" s="22"/>
      <c r="P182" s="801" t="s">
        <v>203</v>
      </c>
      <c r="Q182" s="117" t="s">
        <v>208</v>
      </c>
      <c r="R182" s="117"/>
    </row>
    <row r="183" spans="2:18" ht="36">
      <c r="B183" s="87" t="str">
        <f>IF(Contents!$B$2=2,Q183,P183)</f>
        <v>Under lawsuits challenging transactions in accordance with Articles 1731 and 174 of the Civil Code of the Russian Federation</v>
      </c>
      <c r="C183" s="53" t="str">
        <f>IF(Contents!$B$2=2,"RR th.","тыс. руб.")</f>
        <v>RR th.</v>
      </c>
      <c r="D183" s="800" t="s">
        <v>185</v>
      </c>
      <c r="E183" s="800" t="s">
        <v>185</v>
      </c>
      <c r="F183" s="800" t="s">
        <v>185</v>
      </c>
      <c r="G183" s="905">
        <v>0</v>
      </c>
      <c r="H183" s="29"/>
      <c r="I183" s="56" t="str">
        <f>IF(Contents!$B$2=2,"PBCS 59","СОКБ 59")</f>
        <v>PBCS 59</v>
      </c>
      <c r="K183" s="558"/>
      <c r="M183" s="22"/>
      <c r="P183" s="801" t="s">
        <v>204</v>
      </c>
      <c r="Q183" s="117" t="s">
        <v>209</v>
      </c>
      <c r="R183" s="117"/>
    </row>
    <row r="184" spans="2:18" ht="54">
      <c r="B184" s="87" t="str">
        <f>IF(Contents!$B$2=2,Q184,P184)</f>
        <v>Under lawsuits challenging resolutions of the issuer’s management bodies, as well as disputes involving the issuer in other lawsuits related to violation of corporate laws</v>
      </c>
      <c r="C184" s="53" t="str">
        <f>IF(Contents!$B$2=2,"RR th.","тыс. руб.")</f>
        <v>RR th.</v>
      </c>
      <c r="D184" s="800" t="s">
        <v>185</v>
      </c>
      <c r="E184" s="800" t="s">
        <v>185</v>
      </c>
      <c r="F184" s="800" t="s">
        <v>185</v>
      </c>
      <c r="G184" s="905">
        <v>0</v>
      </c>
      <c r="H184" s="29"/>
      <c r="I184" s="56" t="str">
        <f>IF(Contents!$B$2=2,"PBCS 59","СОКБ 59")</f>
        <v>PBCS 59</v>
      </c>
      <c r="K184" s="558"/>
      <c r="M184" s="22"/>
      <c r="P184" s="801" t="s">
        <v>205</v>
      </c>
      <c r="Q184" s="117" t="s">
        <v>210</v>
      </c>
      <c r="R184" s="117"/>
    </row>
    <row r="185" spans="2:18" ht="54">
      <c r="B185" s="52" t="str">
        <f>IF(Contents!$B$2=2,Q185,P185)</f>
        <v>Amount of fines imposed on the organisation and its officers for violation of the laws of the Russian Federation on joint-stock companies and securities, and corporate relations in joint-stock companies</v>
      </c>
      <c r="C185" s="53" t="str">
        <f>IF(Contents!$B$2=2,"RR th.","тыс. руб.")</f>
        <v>RR th.</v>
      </c>
      <c r="D185" s="800" t="s">
        <v>185</v>
      </c>
      <c r="E185" s="800" t="s">
        <v>185</v>
      </c>
      <c r="F185" s="800" t="s">
        <v>185</v>
      </c>
      <c r="G185" s="905" t="s">
        <v>185</v>
      </c>
      <c r="H185" s="29"/>
      <c r="I185" s="56" t="str">
        <f>IF(Contents!$B$2=2,"PBCS 60","СОКБ 60")</f>
        <v>PBCS 60</v>
      </c>
      <c r="K185" s="558">
        <v>1</v>
      </c>
      <c r="M185" s="22"/>
      <c r="P185" s="117" t="s">
        <v>202</v>
      </c>
      <c r="Q185" s="117" t="s">
        <v>212</v>
      </c>
      <c r="R185" s="117"/>
    </row>
    <row r="186" spans="2:18" ht="36">
      <c r="B186" s="750" t="str">
        <f>IF(Contents!$B$2=2,"Cases of being held liable under the laws of the Russian Federation for violation of consumer rights","Количество случаев привлечения к ответственности в соответствии с законодательством Российской Федерации за нарушение прав потребителей")</f>
        <v>Cases of being held liable under the laws of the Russian Federation for violation of consumer rights</v>
      </c>
      <c r="C186" s="53" t="str">
        <f>IF(Contents!$B$2=2,"unit","ед.")</f>
        <v>unit</v>
      </c>
      <c r="D186" s="800" t="s">
        <v>185</v>
      </c>
      <c r="E186" s="800" t="s">
        <v>185</v>
      </c>
      <c r="F186" s="800">
        <v>0</v>
      </c>
      <c r="G186" s="905">
        <v>0</v>
      </c>
      <c r="H186" s="29"/>
      <c r="I186" s="56" t="str">
        <f>IF(Contents!$B$2=2,"PBCS 54","СОКБ 54")</f>
        <v>PBCS 54</v>
      </c>
      <c r="K186" s="558">
        <v>1</v>
      </c>
      <c r="M186" s="22"/>
    </row>
    <row r="187" spans="2:18">
      <c r="B187" s="52"/>
      <c r="C187" s="53"/>
      <c r="D187" s="82"/>
      <c r="E187" s="82"/>
      <c r="F187" s="82"/>
      <c r="G187" s="82"/>
      <c r="H187" s="29"/>
      <c r="I187" s="39"/>
      <c r="K187" s="558"/>
      <c r="M187" s="22"/>
    </row>
    <row r="188" spans="2:18">
      <c r="B188" s="751" t="str">
        <f>IF(Contents!$B$2=2,"Respect for the rights of local communities and indigenous peoples","Соблюдение прав местных сообществ и коренных народов")</f>
        <v>Respect for the rights of local communities and indigenous peoples</v>
      </c>
      <c r="C188" s="49"/>
      <c r="D188" s="50"/>
      <c r="E188" s="50"/>
      <c r="F188" s="50"/>
      <c r="G188" s="50"/>
      <c r="H188" s="29"/>
      <c r="I188" s="39"/>
      <c r="K188" s="558"/>
      <c r="M188" s="22"/>
    </row>
    <row r="189" spans="2:18" ht="36">
      <c r="B189" s="750" t="str">
        <f>IF(Contents!$B$2=2,"Number of cases of violation of the rights of small indigenous peoples of the Russian Federation recorded","Количество зафиксированных случаев нарушения прав коренных малочисленных народов РФ")</f>
        <v>Number of cases of violation of the rights of small indigenous peoples of the Russian Federation recorded</v>
      </c>
      <c r="C189" s="53" t="str">
        <f>IF(Contents!$B$2=2,"unit","ед.")</f>
        <v>unit</v>
      </c>
      <c r="D189" s="82">
        <v>0</v>
      </c>
      <c r="E189" s="82">
        <v>0</v>
      </c>
      <c r="F189" s="82">
        <v>0</v>
      </c>
      <c r="G189" s="900">
        <v>0</v>
      </c>
      <c r="H189" s="29"/>
      <c r="I189" s="56" t="str">
        <f>IF(Contents!$B$2=2,"PBCS 50","СОКБ 50")</f>
        <v>PBCS 50</v>
      </c>
      <c r="K189" s="558">
        <v>2</v>
      </c>
      <c r="M189" s="22"/>
    </row>
    <row r="190" spans="2:18" ht="36">
      <c r="B190" s="750" t="str">
        <f>IF(Contents!$B$2=2,"Number of recorded socially significant incidents (strikes and cases of violation of local community rights by the organization that triggered public actions)","Количество зафиксированных социально-значимых инцидентов (забастовки и случаи нарушения со стороны организации прав местных сообществ, приведшие к публичным мероприятиям)")</f>
        <v>Number of recorded socially significant incidents (strikes and cases of violation of local community rights by the organization that triggered public actions)</v>
      </c>
      <c r="C190" s="53" t="str">
        <f>IF(Contents!$B$2=2,"unit","ед.")</f>
        <v>unit</v>
      </c>
      <c r="D190" s="82">
        <v>0</v>
      </c>
      <c r="E190" s="82">
        <v>0</v>
      </c>
      <c r="F190" s="82">
        <v>0</v>
      </c>
      <c r="G190" s="900">
        <v>0</v>
      </c>
      <c r="H190" s="29"/>
      <c r="I190" s="56" t="str">
        <f>IF(Contents!$B$2=2,"PBCS 55","СОКБ 55")</f>
        <v>PBCS 55</v>
      </c>
      <c r="K190" s="558">
        <v>2</v>
      </c>
      <c r="M190" s="22"/>
    </row>
    <row r="191" spans="2:18">
      <c r="B191" s="87"/>
      <c r="C191" s="53"/>
      <c r="D191" s="82"/>
      <c r="E191" s="82"/>
      <c r="F191" s="82"/>
      <c r="G191" s="82"/>
      <c r="H191" s="29"/>
      <c r="I191" s="39"/>
      <c r="K191" s="558"/>
      <c r="M191" s="22"/>
    </row>
    <row r="192" spans="2:18">
      <c r="B192" s="45" t="str">
        <f>IF(Contents!$B$2=2,"Economic indicators","Экономические показатели")</f>
        <v>Economic indicators</v>
      </c>
      <c r="C192" s="45"/>
      <c r="D192" s="719"/>
      <c r="E192" s="719"/>
      <c r="F192" s="719"/>
      <c r="G192" s="719"/>
      <c r="H192" s="29"/>
      <c r="I192" s="39"/>
      <c r="K192" s="558"/>
      <c r="M192" s="22"/>
    </row>
    <row r="193" spans="2:26">
      <c r="B193" s="48" t="str">
        <f>IF(Contents!$B$2=2,"Economic efficiency and sustainability","Экономическая эффективность и устойчивость")</f>
        <v>Economic efficiency and sustainability</v>
      </c>
      <c r="C193" s="49"/>
      <c r="D193" s="749"/>
      <c r="E193" s="749"/>
      <c r="F193" s="749"/>
      <c r="G193" s="749"/>
      <c r="H193" s="29"/>
      <c r="I193" s="39"/>
      <c r="K193" s="558"/>
      <c r="M193" s="22"/>
    </row>
    <row r="194" spans="2:26">
      <c r="B194" s="52" t="str">
        <f>IF(Contents!$B$2=2,"Revenue","Выручка")</f>
        <v>Revenue</v>
      </c>
      <c r="C194" s="53" t="str">
        <f>IF(Contents!$B$2=2,"RR th.","тыс. руб.")</f>
        <v>RR th.</v>
      </c>
      <c r="D194" s="102" t="s">
        <v>185</v>
      </c>
      <c r="E194" s="102">
        <v>1371508000</v>
      </c>
      <c r="F194" s="102">
        <v>1545851000</v>
      </c>
      <c r="G194" s="907">
        <v>1445593000</v>
      </c>
      <c r="H194" s="29"/>
      <c r="I194" s="56" t="str">
        <f>IF(Contents!$B$2=2,"PBCS 61","СОКБ 61")</f>
        <v>PBCS 61</v>
      </c>
      <c r="K194" s="558">
        <v>3</v>
      </c>
      <c r="M194" s="22"/>
    </row>
    <row r="195" spans="2:26">
      <c r="B195" s="52" t="str">
        <f>IF(Contents!$B$2=2,"Volume of sustainable, including green, investments","Объем устойчивых, в том числе «зеленых», инвестиций ")</f>
        <v>Volume of sustainable, including green, investments</v>
      </c>
      <c r="C195" s="53" t="str">
        <f>IF(Contents!$B$2=2,"RR th.","тыс. руб.")</f>
        <v>RR th.</v>
      </c>
      <c r="D195" s="102">
        <v>3903.904</v>
      </c>
      <c r="E195" s="102">
        <v>9727.1364300000005</v>
      </c>
      <c r="F195" s="102">
        <v>33079</v>
      </c>
      <c r="G195" s="907">
        <v>4421</v>
      </c>
      <c r="H195" s="823"/>
      <c r="I195" s="56" t="str">
        <f>IF(Contents!$B$2=2,"PBCS 67","СОКБ 67")</f>
        <v>PBCS 67</v>
      </c>
      <c r="K195" s="558">
        <v>2</v>
      </c>
      <c r="M195" s="22"/>
    </row>
    <row r="196" spans="2:26" ht="36">
      <c r="B196" s="52" t="str">
        <f>IF(Contents!$B$2=2,"Percentage of sustainable, including green, investments of the total volume of investments","Доля устойчивых, в том числе «зеленых», инвестиций в общем объеме инвестиций")</f>
        <v>Percentage of sustainable, including green, investments of the total volume of investments</v>
      </c>
      <c r="C196" s="53" t="s">
        <v>0</v>
      </c>
      <c r="D196" s="866">
        <v>0.03</v>
      </c>
      <c r="E196" s="865">
        <v>7.0000000000000007E-2</v>
      </c>
      <c r="F196" s="865">
        <v>0.09</v>
      </c>
      <c r="G196" s="908">
        <v>0.03</v>
      </c>
      <c r="H196" s="29"/>
      <c r="I196" s="56" t="str">
        <f>IF(Contents!$B$2=2,"PBCS 67","СОКБ 67")</f>
        <v>PBCS 67</v>
      </c>
      <c r="K196" s="558">
        <v>2</v>
      </c>
      <c r="M196" s="22"/>
    </row>
    <row r="197" spans="2:26" ht="36">
      <c r="B197" s="52" t="str">
        <f>IF(Contents!$B$2=2,Q197,P197)</f>
        <v>Amount of investments in projects related to the achievement of technological sovereignty and structural adaptation of the Russian economy</v>
      </c>
      <c r="C197" s="53" t="str">
        <f>IF(Contents!$B$2=2,"RR th.","тыс. руб.")</f>
        <v>RR th.</v>
      </c>
      <c r="D197" s="102" t="s">
        <v>185</v>
      </c>
      <c r="E197" s="102">
        <v>14118</v>
      </c>
      <c r="F197" s="102">
        <v>3838</v>
      </c>
      <c r="G197" s="907">
        <v>2799</v>
      </c>
      <c r="H197" s="29"/>
      <c r="I197" s="56" t="str">
        <f>IF(Contents!$B$2=2,"PBCS 68","СОКБ 68")</f>
        <v>PBCS 68</v>
      </c>
      <c r="K197" s="558">
        <v>2</v>
      </c>
      <c r="M197" s="22"/>
      <c r="P197" s="117" t="s">
        <v>214</v>
      </c>
      <c r="Q197" s="117" t="s">
        <v>216</v>
      </c>
      <c r="R197" s="117"/>
    </row>
    <row r="198" spans="2:26" ht="54">
      <c r="B198" s="52" t="str">
        <f>IF(Contents!$B$2=2,Q198,P198)</f>
        <v xml:space="preserve">Percentage of such investments in projects related to the achievement of technological sovereignty and structural adaptation of the Russian economy in total investments </v>
      </c>
      <c r="C198" s="53" t="s">
        <v>0</v>
      </c>
      <c r="D198" s="102" t="s">
        <v>185</v>
      </c>
      <c r="E198" s="807">
        <v>83.5</v>
      </c>
      <c r="F198" s="807">
        <v>33.700000000000003</v>
      </c>
      <c r="G198" s="909">
        <v>26.4</v>
      </c>
      <c r="H198" s="29"/>
      <c r="I198" s="56" t="str">
        <f>IF(Contents!$B$2=2,"PBCS 68","СОКБ 68")</f>
        <v>PBCS 68</v>
      </c>
      <c r="K198" s="558">
        <v>2</v>
      </c>
      <c r="M198" s="22"/>
      <c r="P198" s="117" t="s">
        <v>215</v>
      </c>
      <c r="Q198" s="117" t="s">
        <v>217</v>
      </c>
      <c r="R198" s="117"/>
    </row>
    <row r="199" spans="2:26" ht="54">
      <c r="B199" s="52" t="str">
        <f>IF(Contents!$B$2=2,Q199,P199)</f>
        <v>Ratio of the organisation’s investments in projects related to the achievement of technological sovereignty and structural adaptation of the Russian economy to the organisation’s revenue</v>
      </c>
      <c r="C199" s="53" t="s">
        <v>0</v>
      </c>
      <c r="D199" s="102" t="s">
        <v>185</v>
      </c>
      <c r="E199" s="941">
        <v>1.029E-3</v>
      </c>
      <c r="F199" s="808">
        <v>2.4800000000000001E-4</v>
      </c>
      <c r="G199" s="910">
        <v>1.94E-4</v>
      </c>
      <c r="H199" s="29"/>
      <c r="I199" s="56" t="str">
        <f>IF(Contents!$B$2=2,"PBCS 90","СОКБ 90")</f>
        <v>PBCS 90</v>
      </c>
      <c r="K199" s="558">
        <v>2</v>
      </c>
      <c r="M199" s="22"/>
      <c r="P199" s="117" t="s">
        <v>218</v>
      </c>
      <c r="Q199" s="117" t="s">
        <v>219</v>
      </c>
      <c r="R199" s="117"/>
    </row>
    <row r="200" spans="2:26">
      <c r="B200" s="25" t="str">
        <f>IF(Contents!$B$2=2,"Notes:","Примечания:")</f>
        <v>Notes:</v>
      </c>
      <c r="C200" s="53"/>
      <c r="D200" s="82"/>
      <c r="E200" s="82"/>
      <c r="F200" s="82"/>
      <c r="G200" s="82"/>
      <c r="H200" s="29"/>
      <c r="I200" s="39"/>
      <c r="K200" s="558"/>
      <c r="M200" s="22"/>
    </row>
    <row r="201" spans="2:26">
      <c r="B201" s="26" t="str">
        <f>IF(Contents!$B$2=2,"The calculation of sustainable, including green, investments takes into account capital expenditures on renewable energy, carbon capture and storage, as well as on forest-climatic projects.","В расчете устойчивых инвестиций учтены капитальные затраты на ВИЭ, улавливание и хранение углерода, а также на лесоклиматические проекты.")</f>
        <v>The calculation of sustainable, including green, investments takes into account capital expenditures on renewable energy, carbon capture and storage, as well as on forest-climatic projects.</v>
      </c>
      <c r="C201" s="53"/>
      <c r="D201" s="82"/>
      <c r="E201" s="82"/>
      <c r="F201" s="82"/>
      <c r="G201" s="82"/>
      <c r="H201" s="29"/>
      <c r="I201" s="39"/>
      <c r="K201" s="558"/>
      <c r="M201" s="22"/>
    </row>
    <row r="202" spans="2:26" s="43" customFormat="1">
      <c r="B202" s="26" t="str">
        <f>IF(Contents!$B$2=2, Y202, Z202)</f>
        <v>In the 2025 Report, the Volume of sustainable, including green, investments indicator for 2023 and 2024 has been recalculated proportionally to the Group's ownership stake in joint ventures. For more details, see Appendix 4, GRI 2-4.</v>
      </c>
      <c r="C202" s="252"/>
      <c r="D202" s="579"/>
      <c r="E202" s="579"/>
      <c r="F202" s="579"/>
      <c r="G202" s="579"/>
      <c r="H202" s="579"/>
      <c r="I202" s="802"/>
      <c r="J202" s="579"/>
      <c r="K202" s="579"/>
      <c r="L202" s="579"/>
      <c r="M202" s="579"/>
      <c r="N202" s="579"/>
      <c r="P202" s="804"/>
      <c r="Q202" s="805"/>
      <c r="R202" s="805"/>
      <c r="S202" s="805"/>
      <c r="T202" s="805"/>
      <c r="U202" s="805"/>
      <c r="V202" s="805"/>
      <c r="W202" s="805"/>
      <c r="X202" s="606"/>
      <c r="Y202" s="226" t="s">
        <v>246</v>
      </c>
      <c r="Z202" s="226" t="s">
        <v>245</v>
      </c>
    </row>
    <row r="203" spans="2:26" s="43" customFormat="1">
      <c r="B203" s="26"/>
      <c r="C203" s="252"/>
      <c r="D203" s="579"/>
      <c r="E203" s="579"/>
      <c r="F203" s="579"/>
      <c r="G203" s="579"/>
      <c r="H203" s="579"/>
      <c r="I203" s="802"/>
      <c r="J203" s="579"/>
      <c r="K203" s="579"/>
      <c r="L203" s="579"/>
      <c r="M203" s="579"/>
      <c r="N203" s="579"/>
      <c r="O203" s="803" t="s">
        <v>213</v>
      </c>
      <c r="P203" s="804"/>
      <c r="Q203" s="805"/>
      <c r="R203" s="805"/>
      <c r="S203" s="805"/>
      <c r="T203" s="805"/>
      <c r="U203" s="805"/>
      <c r="V203" s="805"/>
      <c r="W203" s="805"/>
      <c r="X203" s="606"/>
      <c r="Y203" s="226"/>
      <c r="Z203" s="226"/>
    </row>
    <row r="204" spans="2:26">
      <c r="B204" s="48" t="str">
        <f>IF(Contents!$B$2=2,"Tax policy","Налоговая политика")</f>
        <v>Tax policy</v>
      </c>
      <c r="C204" s="49"/>
      <c r="D204" s="50"/>
      <c r="E204" s="50"/>
      <c r="F204" s="50"/>
      <c r="G204" s="50"/>
      <c r="H204" s="29"/>
      <c r="I204" s="39"/>
      <c r="K204" s="558"/>
      <c r="M204" s="22"/>
    </row>
    <row r="205" spans="2:26">
      <c r="B205" s="52" t="str">
        <f>IF(Contents!$B$2=2,"Amount of mandatory payments accrued (excluding fines, penalties)","Сумма начисленных обязательных платежей (за исключением штрафов, пени)")</f>
        <v>Amount of mandatory payments accrued (excluding fines, penalties)</v>
      </c>
      <c r="C205" s="53" t="str">
        <f>IF(Contents!$B$2=2,"RR th.","тыс. руб.")</f>
        <v>RR th.</v>
      </c>
      <c r="D205" s="46" t="s">
        <v>185</v>
      </c>
      <c r="E205" s="46" t="s">
        <v>185</v>
      </c>
      <c r="F205" s="46" t="s">
        <v>185</v>
      </c>
      <c r="G205" s="104">
        <v>194500000</v>
      </c>
      <c r="H205" s="29"/>
      <c r="I205" s="56" t="str">
        <f>IF(Contents!$B$2=2,"PBCS 63","СОКБ 63")</f>
        <v>PBCS 63</v>
      </c>
      <c r="K205" s="558">
        <v>3</v>
      </c>
      <c r="M205" s="22"/>
    </row>
    <row r="206" spans="2:26">
      <c r="B206" s="87" t="str">
        <f>IF(Contents!$B$2=2,"Taxes and levies","Налоги и сборы")</f>
        <v>Taxes and levies</v>
      </c>
      <c r="C206" s="53" t="str">
        <f>IF(Contents!$B$2=2,"RR th.","тыс. руб.")</f>
        <v>RR th.</v>
      </c>
      <c r="D206" s="46" t="s">
        <v>185</v>
      </c>
      <c r="E206" s="46" t="s">
        <v>185</v>
      </c>
      <c r="F206" s="46" t="s">
        <v>185</v>
      </c>
      <c r="G206" s="104">
        <v>194500000</v>
      </c>
      <c r="H206" s="29"/>
      <c r="I206" s="56" t="str">
        <f>IF(Contents!$B$2=2,"PBCS 63","СОКБ 63")</f>
        <v>PBCS 63</v>
      </c>
      <c r="K206" s="558"/>
      <c r="M206" s="22"/>
    </row>
    <row r="207" spans="2:26">
      <c r="B207" s="87" t="str">
        <f>IF(Contents!$B$2=2,"Insurance premiums","Страховые взносы")</f>
        <v>Insurance premiums</v>
      </c>
      <c r="C207" s="53" t="str">
        <f>IF(Contents!$B$2=2,"RR th.","тыс. руб.")</f>
        <v>RR th.</v>
      </c>
      <c r="D207" s="46" t="s">
        <v>185</v>
      </c>
      <c r="E207" s="46" t="s">
        <v>185</v>
      </c>
      <c r="F207" s="46" t="s">
        <v>185</v>
      </c>
      <c r="G207" s="104" t="s">
        <v>185</v>
      </c>
      <c r="H207" s="29"/>
      <c r="I207" s="56" t="str">
        <f>IF(Contents!$B$2=2,"PBCS 63","СОКБ 63")</f>
        <v>PBCS 63</v>
      </c>
      <c r="K207" s="558"/>
      <c r="M207" s="22"/>
    </row>
    <row r="208" spans="2:26">
      <c r="B208" s="87" t="str">
        <f>IF(Contents!$B$2=2,"Other mandatory payments","Иные обязательные платежи")</f>
        <v>Other mandatory payments</v>
      </c>
      <c r="C208" s="53" t="str">
        <f>IF(Contents!$B$2=2,"RR th.","тыс. руб.")</f>
        <v>RR th.</v>
      </c>
      <c r="D208" s="46" t="s">
        <v>185</v>
      </c>
      <c r="E208" s="46" t="s">
        <v>185</v>
      </c>
      <c r="F208" s="46" t="s">
        <v>185</v>
      </c>
      <c r="G208" s="104" t="s">
        <v>185</v>
      </c>
      <c r="H208" s="29"/>
      <c r="I208" s="56" t="str">
        <f>IF(Contents!$B$2=2,"PBCS 63","СОКБ 63")</f>
        <v>PBCS 63</v>
      </c>
      <c r="K208" s="558"/>
      <c r="M208" s="22"/>
    </row>
    <row r="209" spans="1:15">
      <c r="B209" s="57"/>
      <c r="C209" s="53"/>
      <c r="D209" s="306"/>
      <c r="E209" s="306"/>
      <c r="F209" s="306"/>
      <c r="G209" s="827"/>
      <c r="H209" s="29"/>
      <c r="I209" s="39"/>
      <c r="K209" s="558"/>
      <c r="M209" s="22"/>
    </row>
    <row r="210" spans="1:15">
      <c r="B210" s="52" t="str">
        <f>IF(Contents!$B$2=2,"Amount of mandatory payments paid (excluding fines, penalties)","Сумма уплаченных обязательных платежей (за исключением штрафов, пени)")</f>
        <v>Amount of mandatory payments paid (excluding fines, penalties)</v>
      </c>
      <c r="C210" s="53" t="str">
        <f>IF(Contents!$B$2=2,"RR th.","тыс. руб.")</f>
        <v>RR th.</v>
      </c>
      <c r="D210" s="46" t="s">
        <v>185</v>
      </c>
      <c r="E210" s="46" t="s">
        <v>185</v>
      </c>
      <c r="F210" s="46" t="s">
        <v>185</v>
      </c>
      <c r="G210" s="104" t="s">
        <v>185</v>
      </c>
      <c r="H210" s="29"/>
      <c r="I210" s="56" t="str">
        <f>IF(Contents!$B$2=2,"PBCS 64","СОКБ 64")</f>
        <v>PBCS 64</v>
      </c>
      <c r="K210" s="558"/>
      <c r="M210" s="22"/>
    </row>
    <row r="211" spans="1:15">
      <c r="B211" s="87" t="str">
        <f>IF(Contents!$B$2=2,"Taxes and levies","Налоги и сборы")</f>
        <v>Taxes and levies</v>
      </c>
      <c r="C211" s="53" t="str">
        <f>IF(Contents!$B$2=2,"RR th.","тыс. руб.")</f>
        <v>RR th.</v>
      </c>
      <c r="D211" s="46" t="s">
        <v>185</v>
      </c>
      <c r="E211" s="46" t="s">
        <v>185</v>
      </c>
      <c r="F211" s="46">
        <v>222471000</v>
      </c>
      <c r="G211" s="104" t="s">
        <v>185</v>
      </c>
      <c r="H211" s="29"/>
      <c r="I211" s="56" t="str">
        <f>IF(Contents!$B$2=2,"PBCS 64","СОКБ 64")</f>
        <v>PBCS 64</v>
      </c>
      <c r="K211" s="558">
        <v>3</v>
      </c>
      <c r="M211" s="22"/>
    </row>
    <row r="212" spans="1:15">
      <c r="B212" s="87" t="str">
        <f>IF(Contents!$B$2=2,"Insurance premiums","Страховые взносы")</f>
        <v>Insurance premiums</v>
      </c>
      <c r="C212" s="53" t="str">
        <f>IF(Contents!$B$2=2,"RR th.","тыс. руб.")</f>
        <v>RR th.</v>
      </c>
      <c r="D212" s="46" t="s">
        <v>185</v>
      </c>
      <c r="E212" s="46" t="s">
        <v>185</v>
      </c>
      <c r="F212" s="46" t="s">
        <v>185</v>
      </c>
      <c r="G212" s="104" t="s">
        <v>185</v>
      </c>
      <c r="H212" s="29"/>
      <c r="I212" s="56" t="str">
        <f>IF(Contents!$B$2=2,"PBCS 64","СОКБ 64")</f>
        <v>PBCS 64</v>
      </c>
      <c r="K212" s="558"/>
      <c r="M212" s="22"/>
    </row>
    <row r="213" spans="1:15">
      <c r="B213" s="87" t="str">
        <f>IF(Contents!$B$2=2,"Other mandatory payments","Иные обязательные платежи")</f>
        <v>Other mandatory payments</v>
      </c>
      <c r="C213" s="53" t="str">
        <f>IF(Contents!$B$2=2,"RR th.","тыс. руб.")</f>
        <v>RR th.</v>
      </c>
      <c r="D213" s="46" t="s">
        <v>185</v>
      </c>
      <c r="E213" s="46" t="s">
        <v>185</v>
      </c>
      <c r="F213" s="46" t="s">
        <v>185</v>
      </c>
      <c r="G213" s="104" t="s">
        <v>185</v>
      </c>
      <c r="H213" s="29"/>
      <c r="I213" s="56" t="str">
        <f>IF(Contents!$B$2=2,"PBCS 64","СОКБ 64")</f>
        <v>PBCS 64</v>
      </c>
      <c r="K213" s="558"/>
      <c r="M213" s="22"/>
    </row>
    <row r="214" spans="1:15">
      <c r="B214" s="87"/>
      <c r="C214" s="53"/>
      <c r="D214" s="46"/>
      <c r="E214" s="46"/>
      <c r="F214" s="58"/>
      <c r="G214" s="58"/>
      <c r="H214" s="29"/>
      <c r="I214" s="56"/>
      <c r="K214" s="558"/>
      <c r="M214" s="22"/>
    </row>
    <row r="215" spans="1:15">
      <c r="B215" s="25" t="str">
        <f>IF(Contents!$B$2=2,"Notes:","Примечания:")</f>
        <v>Notes:</v>
      </c>
      <c r="C215" s="53"/>
      <c r="D215" s="46"/>
      <c r="E215" s="46"/>
      <c r="F215" s="58"/>
      <c r="G215" s="58"/>
      <c r="H215" s="29"/>
      <c r="I215" s="56"/>
      <c r="K215" s="558"/>
      <c r="M215" s="22"/>
    </row>
    <row r="216" spans="1:15">
      <c r="B216" s="26" t="str">
        <f>IF(Contents!$B$2=2,C217, B217)</f>
        <v>Taxes and fees include taxes other than income tax, mineral extraction tax, property tax, other taxes. The value is based on the Disclosed Consolidated Financial Statements for 2025.</v>
      </c>
      <c r="D216" s="675"/>
      <c r="E216" s="675"/>
      <c r="F216" s="675"/>
      <c r="G216" s="675"/>
      <c r="H216" s="29"/>
      <c r="I216" s="39"/>
      <c r="K216" s="558"/>
      <c r="M216" s="22"/>
    </row>
    <row r="217" spans="1:15">
      <c r="B217" s="115" t="s">
        <v>238</v>
      </c>
      <c r="C217" s="115" t="s">
        <v>239</v>
      </c>
      <c r="D217" s="82"/>
      <c r="E217" s="82"/>
      <c r="F217" s="82"/>
      <c r="G217" s="82"/>
      <c r="H217" s="29"/>
      <c r="I217" s="39"/>
      <c r="K217" s="558"/>
      <c r="M217" s="22"/>
    </row>
    <row r="218" spans="1:15">
      <c r="B218" s="48" t="str">
        <f>IF(Contents!$B$2=2,"Responsible supply chain","Ответственная цепочка поставок")</f>
        <v>Responsible supply chain</v>
      </c>
      <c r="C218" s="49"/>
      <c r="D218" s="50"/>
      <c r="E218" s="50"/>
      <c r="F218" s="51"/>
      <c r="G218" s="51"/>
      <c r="H218" s="29"/>
      <c r="I218" s="39"/>
      <c r="K218" s="558"/>
      <c r="M218" s="22"/>
    </row>
    <row r="219" spans="1:15" ht="36">
      <c r="B219" s="218" t="str">
        <f>IF(Contents!$B$2=2,"Percentage of goods, works, and services purchased from Russian organizations of the total volume of goods, works, and services purchased","Доля закупок российских товаров, работ, услуг в общем объеме закупок, товаров, работ, услуг")</f>
        <v>Percentage of goods, works, and services purchased from Russian organizations of the total volume of goods, works, and services purchased</v>
      </c>
      <c r="C219" s="103" t="s">
        <v>0</v>
      </c>
      <c r="D219" s="222">
        <v>71</v>
      </c>
      <c r="E219" s="222">
        <v>82</v>
      </c>
      <c r="F219" s="222">
        <v>83</v>
      </c>
      <c r="G219" s="911">
        <v>91</v>
      </c>
      <c r="H219" s="29"/>
      <c r="I219" s="56" t="str">
        <f>IF(Contents!$B$2=2,"PBCS 65","СОКБ 65")</f>
        <v>PBCS 65</v>
      </c>
      <c r="K219" s="558">
        <v>2</v>
      </c>
      <c r="M219" s="22"/>
    </row>
    <row r="220" spans="1:15">
      <c r="D220" s="46"/>
      <c r="E220" s="46"/>
      <c r="F220" s="46"/>
      <c r="G220" s="46"/>
    </row>
    <row r="221" spans="1:15">
      <c r="A221" s="17"/>
      <c r="B221" s="45" t="str">
        <f>IF(Contents!$B$2=2,"Indicators demonstrating the organisation’s contribution to the social welfare and strategic development of the Russian Federation ","Показатели, отражающие участие организации в повышении благосостояния общества и стратегическом развитии Российской Федерации")</f>
        <v xml:space="preserve">Indicators demonstrating the organisation’s contribution to the social welfare and strategic development of the Russian Federation </v>
      </c>
      <c r="C221" s="45"/>
      <c r="D221" s="45"/>
      <c r="E221" s="45"/>
      <c r="F221" s="45"/>
      <c r="G221" s="45"/>
      <c r="H221" s="40"/>
      <c r="I221" s="39"/>
      <c r="K221" s="558"/>
      <c r="M221" s="589"/>
      <c r="N221" s="589"/>
    </row>
    <row r="222" spans="1:15">
      <c r="A222" s="17"/>
      <c r="B222" s="398" t="str">
        <f>IF(Contents!$B$2=2,"Preservation of the population, strengthening health and improving the wellbeing of people, supporting families","Сохранение населения, укрепление здоровья и повышение благополучия людей, поддержка семьи")</f>
        <v>Preservation of the population, strengthening health and improving the wellbeing of people, supporting families</v>
      </c>
      <c r="C222" s="49"/>
      <c r="D222" s="50"/>
      <c r="E222" s="50"/>
      <c r="F222" s="51"/>
      <c r="G222" s="51"/>
      <c r="H222" s="29"/>
      <c r="I222" s="39"/>
      <c r="K222" s="766"/>
      <c r="M222" s="595"/>
      <c r="N222" s="595"/>
      <c r="O222" s="22"/>
    </row>
    <row r="223" spans="1:15">
      <c r="A223" s="17"/>
      <c r="B223" s="52" t="str">
        <f>IF(Contents!$B$2=2,"Expenses on family and parenting support","Расходы на программы поддержки семьи и родительства")</f>
        <v>Expenses on family and parenting support</v>
      </c>
      <c r="C223" s="53" t="str">
        <f>IF(Contents!$B$2=2,"RR th.","тыс. руб.")</f>
        <v>RR th.</v>
      </c>
      <c r="D223" s="107">
        <v>1535400</v>
      </c>
      <c r="E223" s="107">
        <v>2623300</v>
      </c>
      <c r="F223" s="107">
        <v>3002000</v>
      </c>
      <c r="G223" s="793">
        <v>2911000</v>
      </c>
      <c r="H223" s="38"/>
      <c r="I223" s="56" t="str">
        <f>IF(Contents!$B$2=2,"PBCS 74","СОКБ 74")</f>
        <v>PBCS 74</v>
      </c>
      <c r="K223" s="56">
        <v>2</v>
      </c>
      <c r="M223" s="595"/>
      <c r="N223" s="595"/>
      <c r="O223" s="22"/>
    </row>
    <row r="224" spans="1:15">
      <c r="A224" s="17"/>
      <c r="B224" s="52" t="str">
        <f>IF(Contents!$B$2=2,"Ratio of Expenses on family and parenting support programs to revenue","Отношение расходов на программы поддержки семьи и родительства к выручке")</f>
        <v>Ratio of Expenses on family and parenting support programs to revenue</v>
      </c>
      <c r="C224" s="53" t="s">
        <v>7</v>
      </c>
      <c r="D224" s="809" t="s">
        <v>185</v>
      </c>
      <c r="E224" s="810">
        <v>0.19</v>
      </c>
      <c r="F224" s="810">
        <v>0.19</v>
      </c>
      <c r="G224" s="912">
        <v>0.2</v>
      </c>
      <c r="H224" s="38"/>
      <c r="I224" s="56" t="str">
        <f>IF(Contents!$B$2=2,"PBCS 74","СОКБ 74")</f>
        <v>PBCS 74</v>
      </c>
      <c r="K224" s="56">
        <v>2</v>
      </c>
      <c r="M224" s="595"/>
      <c r="N224" s="595"/>
      <c r="O224" s="22"/>
    </row>
    <row r="225" spans="2:15">
      <c r="C225" s="53"/>
      <c r="D225" s="91"/>
      <c r="E225" s="91"/>
      <c r="F225" s="91"/>
      <c r="G225" s="91"/>
      <c r="H225" s="38"/>
      <c r="I225" s="39"/>
      <c r="K225" s="558"/>
      <c r="M225" s="595"/>
      <c r="N225" s="595"/>
      <c r="O225" s="22"/>
    </row>
    <row r="226" spans="2:15">
      <c r="B226" s="25" t="str">
        <f>IF(Contents!$B$2=2,"Notes:","Примечания:")</f>
        <v>Notes:</v>
      </c>
      <c r="C226" s="53"/>
      <c r="D226" s="91"/>
      <c r="E226" s="91"/>
      <c r="F226" s="91"/>
      <c r="G226" s="91"/>
      <c r="H226" s="38"/>
      <c r="I226" s="39"/>
      <c r="K226" s="558"/>
      <c r="M226" s="595"/>
      <c r="N226" s="595"/>
      <c r="O226" s="22"/>
    </row>
    <row r="227" spans="2:15">
      <c r="B227" s="26" t="str">
        <f>IF(Contents!$B$2=2,C228, B228)</f>
        <v>The calculations include expenses on the program of targeted compensations and socially significant payments, the therapeutic resort treatment and rehabilitation program, the program implemented on a repayable basis, the rehabilitation of children of employees with disabilities, and support for large families from subsidiaries raising 4 or more children.</v>
      </c>
      <c r="C227" s="53"/>
      <c r="D227" s="91"/>
      <c r="E227" s="91"/>
      <c r="F227" s="91"/>
      <c r="G227" s="91"/>
      <c r="H227" s="38"/>
      <c r="I227" s="39"/>
      <c r="K227" s="558"/>
      <c r="M227" s="595"/>
      <c r="N227" s="595"/>
      <c r="O227" s="22"/>
    </row>
    <row r="228" spans="2:15">
      <c r="B228" s="115" t="s">
        <v>14</v>
      </c>
      <c r="C228" s="115" t="s">
        <v>39</v>
      </c>
      <c r="D228" s="91"/>
      <c r="E228" s="91"/>
      <c r="F228" s="91"/>
      <c r="G228" s="91"/>
      <c r="H228" s="38"/>
      <c r="I228" s="39"/>
      <c r="K228" s="558"/>
      <c r="M228" s="595"/>
      <c r="N228" s="595"/>
      <c r="O228" s="22"/>
    </row>
    <row r="229" spans="2:15" ht="26.1" customHeight="1">
      <c r="B229" s="48" t="str">
        <f>IF(Contents!$B$2=2,"Occupational health and safety (OHS)","Охрана труда и промышленная безопасность (ОТиПБ)")</f>
        <v>Occupational health and safety (OHS)</v>
      </c>
      <c r="C229" s="49"/>
      <c r="D229" s="50"/>
      <c r="E229" s="50"/>
      <c r="F229" s="51"/>
      <c r="G229" s="51"/>
      <c r="H229" s="29"/>
      <c r="I229" s="39"/>
      <c r="K229" s="766"/>
      <c r="M229" s="595"/>
      <c r="N229" s="595"/>
      <c r="O229" s="22"/>
    </row>
    <row r="230" spans="2:15">
      <c r="B230" s="52" t="str">
        <f>IF(Contents!$B$2=2,"Ratio of Expenses on occupational health and safety measures to revenue","Отношение расходов на мероприятия по охране труда и промышленную безопасность к выручке")</f>
        <v>Ratio of Expenses on occupational health and safety measures to revenue</v>
      </c>
      <c r="C230" s="53" t="s">
        <v>7</v>
      </c>
      <c r="D230" s="811" t="s">
        <v>185</v>
      </c>
      <c r="E230" s="810">
        <v>0.37</v>
      </c>
      <c r="F230" s="810">
        <v>0.43</v>
      </c>
      <c r="G230" s="912">
        <v>0.5</v>
      </c>
      <c r="H230" s="38"/>
      <c r="I230" s="56" t="str">
        <f>IF(Contents!$B$2=2,"PBCS 75","СОКБ 75")</f>
        <v>PBCS 75</v>
      </c>
      <c r="K230" s="56">
        <v>2</v>
      </c>
      <c r="M230" s="595"/>
      <c r="N230" s="595"/>
      <c r="O230" s="22"/>
    </row>
    <row r="231" spans="2:15">
      <c r="B231" s="52"/>
      <c r="C231" s="53"/>
      <c r="D231" s="91"/>
      <c r="E231" s="91"/>
      <c r="F231" s="91"/>
      <c r="G231" s="91"/>
      <c r="H231" s="38"/>
      <c r="I231" s="39"/>
      <c r="K231" s="558"/>
      <c r="M231" s="595"/>
      <c r="N231" s="595"/>
      <c r="O231" s="22"/>
    </row>
    <row r="232" spans="2:15">
      <c r="B232" s="48" t="str">
        <f>IF(Contents!$B$2=2,"Supporting health of employees and local community members","Поддержка здоровья работников и представителей местного населения")</f>
        <v>Supporting health of employees and local community members</v>
      </c>
      <c r="C232" s="49"/>
      <c r="D232" s="50"/>
      <c r="E232" s="50"/>
      <c r="F232" s="51"/>
      <c r="G232" s="51"/>
      <c r="H232" s="29"/>
      <c r="I232" s="39"/>
      <c r="K232" s="766"/>
      <c r="M232" s="595"/>
      <c r="N232" s="595"/>
      <c r="O232" s="22"/>
    </row>
    <row r="233" spans="2:15">
      <c r="B233" s="52" t="str">
        <f>IF(Contents!$B$2=2," Expenses on supporting health of employees and local community members","Расходы на поддержку здоровья работников и представителей местного населения")</f>
        <v xml:space="preserve"> Expenses on supporting health of employees and local community members</v>
      </c>
      <c r="C233" s="53" t="str">
        <f>IF(Contents!$B$2=2,"RR th.","тыс. руб.")</f>
        <v>RR th.</v>
      </c>
      <c r="D233" s="107" t="s">
        <v>185</v>
      </c>
      <c r="E233" s="96">
        <v>1033500</v>
      </c>
      <c r="F233" s="96">
        <v>1574100</v>
      </c>
      <c r="G233" s="95">
        <v>635500</v>
      </c>
      <c r="H233" s="38"/>
      <c r="I233" s="56" t="str">
        <f>IF(Contents!$B$2=2,"PBCS 76","СОКБ 76")</f>
        <v>PBCS 76</v>
      </c>
      <c r="K233" s="56">
        <v>2</v>
      </c>
      <c r="M233" s="595"/>
      <c r="N233" s="595"/>
      <c r="O233" s="22"/>
    </row>
    <row r="234" spans="2:15">
      <c r="B234" s="87" t="str">
        <f>IF(Contents!$B$2=2,"Expenses on supporting employee health","Расходы на поддержку здоровья работников")</f>
        <v>Expenses on supporting employee health</v>
      </c>
      <c r="C234" s="53" t="str">
        <f>IF(Contents!$B$2=2,"RR th.","тыс. руб.")</f>
        <v>RR th.</v>
      </c>
      <c r="D234" s="107" t="s">
        <v>185</v>
      </c>
      <c r="E234" s="107">
        <v>1013600</v>
      </c>
      <c r="F234" s="107">
        <v>1518200</v>
      </c>
      <c r="G234" s="793">
        <v>596000</v>
      </c>
      <c r="H234" s="38"/>
      <c r="I234" s="56" t="str">
        <f>IF(Contents!$B$2=2,"PBCS 76","СОКБ 76")</f>
        <v>PBCS 76</v>
      </c>
      <c r="K234" s="56">
        <v>2</v>
      </c>
      <c r="M234" s="595"/>
      <c r="N234" s="595"/>
      <c r="O234" s="22"/>
    </row>
    <row r="235" spans="2:15">
      <c r="B235" s="87" t="str">
        <f>IF(Contents!$B$2=2,"Expenses on supporting health of local community members","Расходы на поддержку здоровья представителей местного населения")</f>
        <v>Expenses on supporting health of local community members</v>
      </c>
      <c r="C235" s="53" t="str">
        <f>IF(Contents!$B$2=2,"RR th.","тыс. руб.")</f>
        <v>RR th.</v>
      </c>
      <c r="D235" s="107" t="s">
        <v>185</v>
      </c>
      <c r="E235" s="107">
        <v>19900</v>
      </c>
      <c r="F235" s="107">
        <v>55900</v>
      </c>
      <c r="G235" s="793">
        <v>39500</v>
      </c>
      <c r="H235" s="38"/>
      <c r="I235" s="56" t="str">
        <f>IF(Contents!$B$2=2,"PBCS 76","СОКБ 76")</f>
        <v>PBCS 76</v>
      </c>
      <c r="K235" s="56">
        <v>2</v>
      </c>
      <c r="M235" s="595"/>
      <c r="N235" s="595"/>
      <c r="O235" s="22"/>
    </row>
    <row r="236" spans="2:15" ht="36">
      <c r="B236" s="52" t="str">
        <f>IF(Contents!$B$2=2,"Ratio of Expenses on supporting health of employees and local community members to revenue","Отношение расходов на поддержку здоровья работников и представителей местного населения к выручке")</f>
        <v>Ratio of Expenses on supporting health of employees and local community members to revenue</v>
      </c>
      <c r="C236" s="53" t="s">
        <v>0</v>
      </c>
      <c r="D236" s="107" t="s">
        <v>185</v>
      </c>
      <c r="E236" s="752">
        <v>0.08</v>
      </c>
      <c r="F236" s="752">
        <v>0.1</v>
      </c>
      <c r="G236" s="902">
        <v>4.3999999999999997E-2</v>
      </c>
      <c r="H236" s="38"/>
      <c r="I236" s="56" t="str">
        <f>IF(Contents!$B$2=2,"PBCS 76","СОКБ 76")</f>
        <v>PBCS 76</v>
      </c>
      <c r="K236" s="56">
        <v>2</v>
      </c>
      <c r="M236" s="595"/>
      <c r="N236" s="595"/>
      <c r="O236" s="22"/>
    </row>
    <row r="237" spans="2:15">
      <c r="B237" s="87" t="str">
        <f>IF(Contents!$B$2=2,"Ratio of Expenses on supporting employee health to revenue","Отношение расходов на поддержку здоровья работников к выручке")</f>
        <v>Ratio of Expenses on supporting employee health to revenue</v>
      </c>
      <c r="C237" s="53" t="s">
        <v>0</v>
      </c>
      <c r="D237" s="812" t="s">
        <v>185</v>
      </c>
      <c r="E237" s="752">
        <v>7.0000000000000007E-2</v>
      </c>
      <c r="F237" s="752">
        <v>0.1</v>
      </c>
      <c r="G237" s="902">
        <v>0.04</v>
      </c>
      <c r="H237" s="38"/>
      <c r="I237" s="56" t="str">
        <f>IF(Contents!$B$2=2,"PBCS 76","СОКБ 76")</f>
        <v>PBCS 76</v>
      </c>
      <c r="K237" s="56">
        <v>2</v>
      </c>
      <c r="M237" s="595"/>
      <c r="N237" s="595"/>
      <c r="O237" s="22"/>
    </row>
    <row r="238" spans="2:15">
      <c r="B238" s="87" t="str">
        <f>IF(Contents!$B$2=2,"Ratio of Expenses on supporting health of local community members to revenue","Отношение расходов на поддержку здоровья представителей местного населения к выручке")</f>
        <v>Ratio of Expenses on supporting health of local community members to revenue</v>
      </c>
      <c r="C238" s="53" t="s">
        <v>0</v>
      </c>
      <c r="D238" s="46" t="s">
        <v>185</v>
      </c>
      <c r="E238" s="776">
        <v>1E-3</v>
      </c>
      <c r="F238" s="776">
        <v>4.0000000000000001E-3</v>
      </c>
      <c r="G238" s="837">
        <v>3.0000000000000001E-3</v>
      </c>
      <c r="H238" s="38"/>
      <c r="I238" s="56" t="str">
        <f>IF(Contents!$B$2=2,"PBCS 76","СОКБ 76")</f>
        <v>PBCS 76</v>
      </c>
      <c r="K238" s="56">
        <v>2</v>
      </c>
      <c r="M238" s="595"/>
      <c r="N238" s="595"/>
      <c r="O238" s="22"/>
    </row>
    <row r="239" spans="2:15">
      <c r="B239" s="87"/>
      <c r="C239" s="53"/>
      <c r="D239" s="91"/>
      <c r="F239" s="91"/>
      <c r="G239" s="91"/>
      <c r="H239" s="38"/>
      <c r="I239" s="39"/>
      <c r="K239" s="558"/>
      <c r="M239" s="595"/>
      <c r="N239" s="595"/>
      <c r="O239" s="22"/>
    </row>
    <row r="240" spans="2:15">
      <c r="B240" s="25" t="str">
        <f>IF(Contents!$B$2=2,"Notes:","Примечания:")</f>
        <v>Notes:</v>
      </c>
      <c r="C240" s="53"/>
      <c r="D240" s="91"/>
      <c r="F240" s="91"/>
      <c r="G240" s="91"/>
      <c r="H240" s="38"/>
      <c r="I240" s="39"/>
      <c r="K240" s="558"/>
      <c r="M240" s="595"/>
      <c r="N240" s="595"/>
      <c r="O240" s="22"/>
    </row>
    <row r="241" spans="2:15">
      <c r="B241" s="26" t="str">
        <f>IF(Contents!$B$2=2,C243, B243)</f>
        <v>The calculations for employees include Expenses on voluntary medical insurance program for employees, the therapeutic resort treatment and rehabilitation program, and the cultural and sporting events program.</v>
      </c>
      <c r="C241" s="53"/>
      <c r="D241" s="91"/>
      <c r="F241" s="91"/>
      <c r="G241" s="91"/>
      <c r="H241" s="38"/>
      <c r="I241" s="39"/>
      <c r="K241" s="558"/>
      <c r="M241" s="595"/>
      <c r="N241" s="595"/>
      <c r="O241" s="22"/>
    </row>
    <row r="242" spans="2:15">
      <c r="B242" s="26" t="str">
        <f>IF(Contents!$B$2=2,E243, D243)</f>
        <v>The calculations for members of the local community include Expenses of Target Therapy, Movement Kids, Movement Adults, Neurodeti, Atmosphere, and Health Academy projects.</v>
      </c>
      <c r="C242" s="53"/>
      <c r="D242" s="91"/>
      <c r="F242" s="91"/>
      <c r="G242" s="91"/>
      <c r="H242" s="38"/>
      <c r="I242" s="39"/>
      <c r="K242" s="558"/>
      <c r="M242" s="595"/>
      <c r="N242" s="595"/>
      <c r="O242" s="22"/>
    </row>
    <row r="243" spans="2:15">
      <c r="B243" s="115" t="s">
        <v>15</v>
      </c>
      <c r="C243" s="115" t="s">
        <v>40</v>
      </c>
      <c r="D243" s="779" t="s">
        <v>16</v>
      </c>
      <c r="E243" s="779" t="s">
        <v>41</v>
      </c>
      <c r="F243" s="91"/>
      <c r="G243" s="91"/>
      <c r="H243" s="38"/>
      <c r="I243" s="39"/>
      <c r="K243" s="558"/>
      <c r="M243" s="595"/>
      <c r="N243" s="595"/>
      <c r="O243" s="22"/>
    </row>
    <row r="244" spans="2:15">
      <c r="B244" s="48" t="str">
        <f>IF(Contents!$B$2=2,"Healthcare infrastructure development","Развитие инфраструктуры здравоохранения")</f>
        <v>Healthcare infrastructure development</v>
      </c>
      <c r="C244" s="49"/>
      <c r="D244" s="50"/>
      <c r="E244" s="50"/>
      <c r="F244" s="51"/>
      <c r="G244" s="51"/>
      <c r="H244" s="29"/>
      <c r="I244" s="39"/>
      <c r="K244" s="766"/>
      <c r="M244" s="595"/>
      <c r="N244" s="595"/>
      <c r="O244" s="22"/>
    </row>
    <row r="245" spans="2:15">
      <c r="B245" s="52" t="str">
        <f>IF(Contents!$B$2=2,"Expenses on healthcare infrastructure development","Расходы на развитие инфраструктуры здравоохранения")</f>
        <v>Expenses on healthcare infrastructure development</v>
      </c>
      <c r="C245" s="53" t="str">
        <f>IF(Contents!$B$2=2,"RR th.","тыс. руб.")</f>
        <v>RR th.</v>
      </c>
      <c r="D245" s="107" t="s">
        <v>185</v>
      </c>
      <c r="E245" s="107">
        <v>8300</v>
      </c>
      <c r="F245" s="107">
        <v>10900</v>
      </c>
      <c r="G245" s="793">
        <v>297800</v>
      </c>
      <c r="H245" s="38"/>
      <c r="I245" s="56" t="str">
        <f>IF(Contents!$B$2=2,"PBCS 77","СОКБ 77")</f>
        <v>PBCS 77</v>
      </c>
      <c r="K245" s="56">
        <v>2</v>
      </c>
      <c r="M245" s="595"/>
      <c r="N245" s="595"/>
      <c r="O245" s="22"/>
    </row>
    <row r="246" spans="2:15">
      <c r="B246" s="52" t="str">
        <f>IF(Contents!$B$2=2,"Ratio of Expenses on the healthcare infrastructure development to revenue","Отношение расходов на развитие инфраструктуры здравоохранения к выручке")</f>
        <v>Ratio of Expenses on the healthcare infrastructure development to revenue</v>
      </c>
      <c r="C246" s="53" t="s">
        <v>0</v>
      </c>
      <c r="D246" s="107" t="s">
        <v>185</v>
      </c>
      <c r="E246" s="813">
        <v>5.9999999999999995E-4</v>
      </c>
      <c r="F246" s="813">
        <v>6.9999999999999999E-4</v>
      </c>
      <c r="G246" s="919">
        <v>2.06E-2</v>
      </c>
      <c r="H246" s="38"/>
      <c r="I246" s="56" t="str">
        <f>IF(Contents!$B$2=2,"PBCS 77","СОКБ 77")</f>
        <v>PBCS 77</v>
      </c>
      <c r="K246" s="56">
        <v>2</v>
      </c>
      <c r="M246" s="595"/>
      <c r="N246" s="595"/>
      <c r="O246" s="22"/>
    </row>
    <row r="247" spans="2:15">
      <c r="B247" s="52"/>
      <c r="C247" s="53"/>
      <c r="D247" s="91"/>
      <c r="E247" s="91"/>
      <c r="F247" s="91"/>
      <c r="H247" s="38"/>
      <c r="I247" s="39"/>
      <c r="K247" s="558"/>
      <c r="M247" s="595"/>
      <c r="N247" s="595"/>
      <c r="O247" s="22"/>
    </row>
    <row r="248" spans="2:15">
      <c r="B248" s="25" t="str">
        <f>IF(Contents!$B$2=2,"Notes:","Примечания:")</f>
        <v>Notes:</v>
      </c>
      <c r="C248" s="53"/>
      <c r="D248" s="91"/>
      <c r="E248" s="91"/>
      <c r="F248" s="91"/>
      <c r="G248" s="91"/>
      <c r="H248" s="38"/>
      <c r="I248" s="39"/>
      <c r="K248" s="558"/>
      <c r="M248" s="595"/>
      <c r="N248" s="595"/>
      <c r="O248" s="22"/>
    </row>
    <row r="249" spans="2:15">
      <c r="B249" s="26" t="str">
        <f>IF(Contents!$B$2=2,C250, B250)</f>
        <v>The calculations include Expenses on the High-Tech Equipment project.</v>
      </c>
      <c r="C249" s="53"/>
      <c r="D249" s="91"/>
      <c r="E249" s="91"/>
      <c r="F249" s="91"/>
      <c r="G249" s="91"/>
      <c r="H249" s="38"/>
      <c r="I249" s="39"/>
      <c r="K249" s="558"/>
      <c r="M249" s="595"/>
      <c r="N249" s="595"/>
      <c r="O249" s="22"/>
    </row>
    <row r="250" spans="2:15">
      <c r="B250" s="115" t="s">
        <v>17</v>
      </c>
      <c r="C250" s="115" t="s">
        <v>28</v>
      </c>
      <c r="D250" s="91"/>
      <c r="E250" s="91"/>
      <c r="F250" s="91"/>
      <c r="G250" s="91"/>
      <c r="H250" s="38"/>
      <c r="I250" s="39"/>
      <c r="K250" s="558"/>
      <c r="M250" s="595"/>
      <c r="N250" s="595"/>
      <c r="O250" s="22"/>
    </row>
    <row r="251" spans="2:15">
      <c r="B251" s="48" t="str">
        <f>IF(Contents!$B$2=2,"Supporting vulnerable population groups","Поддержка социально незащищенных групп населения")</f>
        <v>Supporting vulnerable population groups</v>
      </c>
      <c r="C251" s="49"/>
      <c r="D251" s="50"/>
      <c r="E251" s="50"/>
      <c r="F251" s="51"/>
      <c r="G251" s="51"/>
      <c r="H251" s="29"/>
      <c r="I251" s="39"/>
      <c r="K251" s="766"/>
      <c r="M251" s="595"/>
      <c r="N251" s="595"/>
      <c r="O251" s="22"/>
    </row>
    <row r="252" spans="2:15">
      <c r="B252" s="52" t="str">
        <f>IF(Contents!$B$2=2,"Expenses on supporting vulnerable population groups","Расходы на поддержку социально незащищенных групп населения")</f>
        <v>Expenses on supporting vulnerable population groups</v>
      </c>
      <c r="C252" s="53" t="str">
        <f>IF(Contents!$B$2=2,"RR th.","тыс. руб.")</f>
        <v>RR th.</v>
      </c>
      <c r="D252" s="107" t="s">
        <v>185</v>
      </c>
      <c r="E252" s="107">
        <v>9000</v>
      </c>
      <c r="F252" s="107">
        <v>76300</v>
      </c>
      <c r="G252" s="793">
        <v>33300</v>
      </c>
      <c r="H252" s="38"/>
      <c r="I252" s="56" t="str">
        <f>IF(Contents!$B$2=2,"PBCS 78","СОКБ 78")</f>
        <v>PBCS 78</v>
      </c>
      <c r="K252" s="56">
        <v>2</v>
      </c>
      <c r="M252" s="595"/>
      <c r="N252" s="595"/>
      <c r="O252" s="22"/>
    </row>
    <row r="253" spans="2:15">
      <c r="B253" s="52" t="str">
        <f>IF(Contents!$B$2=2,"Ratio of Expenses on supporting vulnerable population groups to revenue","Отношение расходов организации на поддержку социально незащищенных групп населения к выручке")</f>
        <v>Ratio of Expenses on supporting vulnerable population groups to revenue</v>
      </c>
      <c r="C253" s="53" t="s">
        <v>0</v>
      </c>
      <c r="D253" s="107" t="s">
        <v>185</v>
      </c>
      <c r="E253" s="776">
        <v>1E-3</v>
      </c>
      <c r="F253" s="776">
        <v>5.0000000000000001E-3</v>
      </c>
      <c r="G253" s="837">
        <v>2E-3</v>
      </c>
      <c r="H253" s="38"/>
      <c r="I253" s="56" t="str">
        <f>IF(Contents!$B$2=2,"PBCS 78","СОКБ 78")</f>
        <v>PBCS 78</v>
      </c>
      <c r="K253" s="56">
        <v>2</v>
      </c>
      <c r="M253" s="595"/>
      <c r="N253" s="595"/>
      <c r="O253" s="22"/>
    </row>
    <row r="254" spans="2:15">
      <c r="B254" s="52"/>
      <c r="C254" s="53"/>
      <c r="D254" s="91"/>
      <c r="E254" s="782"/>
      <c r="F254" s="776"/>
      <c r="G254" s="776"/>
      <c r="H254" s="38"/>
      <c r="I254" s="774"/>
      <c r="K254" s="558"/>
      <c r="M254" s="595"/>
      <c r="N254" s="595"/>
      <c r="O254" s="22"/>
    </row>
    <row r="255" spans="2:15">
      <c r="B255" s="25" t="str">
        <f>IF(Contents!$B$2=2,"Notes:","Примечания:")</f>
        <v>Notes:</v>
      </c>
      <c r="C255" s="53"/>
      <c r="D255" s="91"/>
      <c r="E255" s="782"/>
      <c r="F255" s="776"/>
      <c r="G255" s="776"/>
      <c r="H255" s="38"/>
      <c r="I255" s="774"/>
      <c r="K255" s="558"/>
      <c r="M255" s="595"/>
      <c r="N255" s="595"/>
      <c r="O255" s="22"/>
    </row>
    <row r="256" spans="2:15">
      <c r="B256" s="26" t="str">
        <f>IF(Contents!$B$2=2,C257, B257)</f>
        <v>The calculations include Expenses on child support (targeted charitable aid to children and aid to orphanages and correctional kindergartens).</v>
      </c>
      <c r="C256" s="53"/>
      <c r="D256" s="91"/>
      <c r="E256" s="782"/>
      <c r="F256" s="776"/>
      <c r="G256" s="776"/>
      <c r="H256" s="38"/>
      <c r="I256" s="774"/>
      <c r="K256" s="558"/>
      <c r="M256" s="595"/>
      <c r="N256" s="595"/>
      <c r="O256" s="22"/>
    </row>
    <row r="257" spans="2:15">
      <c r="B257" s="115" t="s">
        <v>18</v>
      </c>
      <c r="C257" s="115" t="s">
        <v>29</v>
      </c>
      <c r="D257" s="91"/>
      <c r="E257" s="91"/>
      <c r="F257" s="91"/>
      <c r="G257" s="91"/>
      <c r="H257" s="38"/>
      <c r="I257" s="39"/>
      <c r="K257" s="558"/>
      <c r="M257" s="595"/>
      <c r="N257" s="595"/>
      <c r="O257" s="22"/>
    </row>
    <row r="258" spans="2:15">
      <c r="B258" s="48" t="str">
        <f>IF(Contents!$B$2=2,"Supporting mass sports","Поддержка массового спорта")</f>
        <v>Supporting mass sports</v>
      </c>
      <c r="C258" s="49"/>
      <c r="D258" s="50"/>
      <c r="E258" s="50"/>
      <c r="F258" s="51"/>
      <c r="G258" s="51"/>
      <c r="H258" s="29"/>
      <c r="I258" s="39"/>
      <c r="K258" s="766"/>
      <c r="M258" s="595"/>
      <c r="N258" s="595"/>
      <c r="O258" s="22"/>
    </row>
    <row r="259" spans="2:15">
      <c r="B259" s="52" t="str">
        <f>IF(Contents!$B$2=2,"Expenses on supporting mass sports","Расходы на поддержку массового спорта")</f>
        <v>Expenses on supporting mass sports</v>
      </c>
      <c r="C259" s="53" t="str">
        <f>IF(Contents!$B$2=2,"RR th.","тыс. руб.")</f>
        <v>RR th.</v>
      </c>
      <c r="D259" s="101" t="s">
        <v>185</v>
      </c>
      <c r="E259" s="107">
        <v>245600</v>
      </c>
      <c r="F259" s="107">
        <v>377300</v>
      </c>
      <c r="G259" s="793">
        <v>310600</v>
      </c>
      <c r="H259" s="38"/>
      <c r="I259" s="56" t="str">
        <f>IF(Contents!$B$2=2,"PBCS 79","СОКБ 79")</f>
        <v>PBCS 79</v>
      </c>
      <c r="K259" s="558">
        <v>2</v>
      </c>
      <c r="M259" s="595"/>
      <c r="N259" s="595"/>
      <c r="O259" s="22"/>
    </row>
    <row r="260" spans="2:15">
      <c r="B260" s="52" t="str">
        <f>IF(Contents!$B$2=2,"Ratio of Expenses on supporting mass sports to revenue","Отношение расходов на поддержку массового спорта к выручке")</f>
        <v>Ratio of Expenses on supporting mass sports to revenue</v>
      </c>
      <c r="C260" s="53" t="s">
        <v>0</v>
      </c>
      <c r="D260" s="101" t="s">
        <v>185</v>
      </c>
      <c r="E260" s="776">
        <v>1.7999999999999999E-2</v>
      </c>
      <c r="F260" s="776">
        <v>2.4E-2</v>
      </c>
      <c r="G260" s="920">
        <v>2.1000000000000001E-2</v>
      </c>
      <c r="H260" s="38"/>
      <c r="I260" s="56" t="str">
        <f>IF(Contents!$B$2=2,"PBCS 79","СОКБ 79")</f>
        <v>PBCS 79</v>
      </c>
      <c r="K260" s="558">
        <v>2</v>
      </c>
      <c r="M260" s="595"/>
      <c r="N260" s="595"/>
      <c r="O260" s="22"/>
    </row>
    <row r="261" spans="2:15">
      <c r="B261" s="52"/>
      <c r="C261" s="53"/>
      <c r="D261" s="91"/>
      <c r="E261" s="91"/>
      <c r="F261" s="91"/>
      <c r="G261" s="91"/>
      <c r="H261" s="38"/>
      <c r="I261" s="39"/>
      <c r="K261" s="558"/>
      <c r="M261" s="595"/>
      <c r="N261" s="595"/>
      <c r="O261" s="22"/>
    </row>
    <row r="262" spans="2:15">
      <c r="B262" s="25" t="str">
        <f>IF(Contents!$B$2=2,"Notes:","Примечания:")</f>
        <v>Notes:</v>
      </c>
      <c r="C262" s="53"/>
      <c r="D262" s="91"/>
      <c r="E262" s="91"/>
      <c r="F262" s="91"/>
      <c r="G262" s="91"/>
      <c r="H262" s="38"/>
      <c r="I262" s="39"/>
      <c r="K262" s="558"/>
      <c r="M262" s="595"/>
      <c r="N262" s="595"/>
      <c r="O262" s="22"/>
    </row>
    <row r="263" spans="2:15">
      <c r="B263" s="26" t="str">
        <f>IF(Contents!$B$2=2,C264, B264)</f>
        <v>The calculations include Expenses on the program of cultural and sports events for employees, as well as projects to support mini-football, basketball and volleyball for members of the local community.</v>
      </c>
      <c r="C263" s="53"/>
      <c r="D263" s="91"/>
      <c r="E263" s="91"/>
      <c r="F263" s="91"/>
      <c r="G263" s="91"/>
      <c r="H263" s="38"/>
      <c r="I263" s="39"/>
      <c r="K263" s="558"/>
      <c r="M263" s="595"/>
      <c r="N263" s="595"/>
      <c r="O263" s="22"/>
    </row>
    <row r="264" spans="2:15">
      <c r="B264" s="115" t="s">
        <v>19</v>
      </c>
      <c r="C264" s="115" t="s">
        <v>30</v>
      </c>
      <c r="D264" s="91"/>
      <c r="E264" s="91"/>
      <c r="F264" s="91"/>
      <c r="G264" s="91"/>
      <c r="H264" s="38"/>
      <c r="I264" s="39"/>
      <c r="K264" s="558"/>
      <c r="M264" s="595"/>
      <c r="N264" s="595"/>
      <c r="O264" s="22"/>
    </row>
    <row r="265" spans="2:15">
      <c r="B265" s="45" t="str">
        <f>IF(Contents!$B$2=2,"Realising the potential of each individual, developing his or her talents, and fostering a patriotic and socially responsible personality","Реализация потенциала каждого человека, развитие его талантов, воспитание патриотичной и социально ответственной личности")</f>
        <v>Realising the potential of each individual, developing his or her talents, and fostering a patriotic and socially responsible personality</v>
      </c>
      <c r="C265" s="45"/>
      <c r="D265" s="719"/>
      <c r="E265" s="719"/>
      <c r="F265" s="719"/>
      <c r="G265" s="719"/>
      <c r="H265" s="38"/>
      <c r="I265" s="39"/>
      <c r="K265" s="558"/>
      <c r="M265" s="595"/>
      <c r="N265" s="595"/>
      <c r="O265" s="22"/>
    </row>
    <row r="266" spans="2:15">
      <c r="B266" s="48" t="str">
        <f>IF(Contents!$B$2=2,"Supporting education","Поддержка образования")</f>
        <v>Supporting education</v>
      </c>
      <c r="C266" s="49"/>
      <c r="D266" s="50"/>
      <c r="E266" s="50"/>
      <c r="F266" s="51"/>
      <c r="G266" s="51"/>
      <c r="H266" s="29"/>
      <c r="I266" s="39"/>
      <c r="K266" s="766"/>
      <c r="M266" s="595"/>
      <c r="N266" s="595"/>
      <c r="O266" s="22"/>
    </row>
    <row r="267" spans="2:15">
      <c r="B267" s="52" t="str">
        <f>IF(Contents!$B$2=2,"Expenses on supporting education","Расходы, направленные на поддержку образования")</f>
        <v>Expenses on supporting education</v>
      </c>
      <c r="C267" s="53" t="str">
        <f>IF(Contents!$B$2=2,"RR th.","тыс. руб.")</f>
        <v>RR th.</v>
      </c>
      <c r="D267" s="91" t="s">
        <v>185</v>
      </c>
      <c r="E267" s="107">
        <v>37500</v>
      </c>
      <c r="F267" s="107">
        <v>48209</v>
      </c>
      <c r="G267" s="793">
        <v>101534</v>
      </c>
      <c r="H267" s="38"/>
      <c r="I267" s="56" t="str">
        <f>IF(Contents!$B$2=2,"PBCS 80","СОКБ 80")</f>
        <v>PBCS 80</v>
      </c>
      <c r="K267" s="56">
        <v>2</v>
      </c>
      <c r="L267" s="558"/>
      <c r="M267" s="595"/>
      <c r="N267" s="595"/>
      <c r="O267" s="22"/>
    </row>
    <row r="268" spans="2:15">
      <c r="B268" s="23" t="str">
        <f>IF(Contents!$B$2=2,"by activities","по направлениям")</f>
        <v>by activities</v>
      </c>
      <c r="C268" s="77"/>
      <c r="D268" s="111"/>
      <c r="E268" s="111"/>
      <c r="F268" s="111"/>
      <c r="G268" s="111"/>
      <c r="H268" s="29"/>
      <c r="I268" s="39"/>
      <c r="K268" s="558"/>
      <c r="L268" s="558"/>
      <c r="M268" s="595"/>
      <c r="N268" s="595"/>
      <c r="O268" s="22"/>
    </row>
    <row r="269" spans="2:15">
      <c r="B269" s="87" t="str">
        <f>IF(Contents!$B$2=2,"Expenses on supporting general education organizations","Расходы, направленные на поддержку общеобразовательных организаций")</f>
        <v>Expenses on supporting general education organizations</v>
      </c>
      <c r="C269" s="53" t="str">
        <f>IF(Contents!$B$2=2,"RR th.","тыс. руб.")</f>
        <v>RR th.</v>
      </c>
      <c r="D269" s="90" t="s">
        <v>185</v>
      </c>
      <c r="E269" s="777" t="s">
        <v>185</v>
      </c>
      <c r="F269" s="46">
        <v>10302</v>
      </c>
      <c r="G269" s="793">
        <v>33542</v>
      </c>
      <c r="H269" s="38"/>
      <c r="I269" s="56" t="str">
        <f>IF(Contents!$B$2=2,"PBCS 80","СОКБ 80")</f>
        <v>PBCS 80</v>
      </c>
      <c r="K269" s="56">
        <v>2</v>
      </c>
      <c r="L269" s="558"/>
      <c r="M269" s="595"/>
      <c r="N269" s="595"/>
      <c r="O269" s="22"/>
    </row>
    <row r="270" spans="2:15" ht="36">
      <c r="B270" s="87" t="str">
        <f>IF(Contents!$B$2=2,"Expenses on supporting organizations implementing secondary vocational education programs","Расходы, направленные на поддержку организаций, реализующих программы среднего профессионального образования")</f>
        <v>Expenses on supporting organizations implementing secondary vocational education programs</v>
      </c>
      <c r="C270" s="53" t="str">
        <f>IF(Contents!$B$2=2,"RR th.","тыс. руб.")</f>
        <v>RR th.</v>
      </c>
      <c r="D270" s="90" t="s">
        <v>185</v>
      </c>
      <c r="E270" s="107">
        <v>900</v>
      </c>
      <c r="F270" s="107">
        <v>1630</v>
      </c>
      <c r="G270" s="204">
        <v>2800</v>
      </c>
      <c r="H270" s="38"/>
      <c r="I270" s="56" t="str">
        <f>IF(Contents!$B$2=2,"PBCS 80","СОКБ 80")</f>
        <v>PBCS 80</v>
      </c>
      <c r="K270" s="56">
        <v>2</v>
      </c>
      <c r="L270" s="558"/>
      <c r="M270" s="595"/>
      <c r="N270" s="595"/>
      <c r="O270" s="22"/>
    </row>
    <row r="271" spans="2:15">
      <c r="B271" s="87" t="str">
        <f>IF(Contents!$B$2=2,"Expenses on career guidance programs and activities for children and youth","Расходы на программы и мероприятия, направленные на профессиональную ориентацию детей и молодежи")</f>
        <v>Expenses on career guidance programs and activities for children and youth</v>
      </c>
      <c r="C271" s="53" t="str">
        <f>IF(Contents!$B$2=2,"RR th.","тыс. руб.")</f>
        <v>RR th.</v>
      </c>
      <c r="D271" s="90" t="s">
        <v>185</v>
      </c>
      <c r="E271" s="107">
        <v>16700</v>
      </c>
      <c r="F271" s="107">
        <v>16033</v>
      </c>
      <c r="G271" s="204">
        <v>18475</v>
      </c>
      <c r="H271" s="38"/>
      <c r="I271" s="56" t="str">
        <f>IF(Contents!$B$2=2,"PBCS 80","СОКБ 80")</f>
        <v>PBCS 80</v>
      </c>
      <c r="K271" s="56">
        <v>2</v>
      </c>
      <c r="L271" s="558"/>
      <c r="M271" s="595"/>
      <c r="N271" s="595"/>
      <c r="O271" s="22"/>
    </row>
    <row r="272" spans="2:15">
      <c r="B272" s="87" t="str">
        <f>IF(Contents!$B$2=2,"Expenses on supporting additional education for children and youth","Расходы, направленные на поддержку дополнительного образования для детей и молодежи")</f>
        <v>Expenses on supporting additional education for children and youth</v>
      </c>
      <c r="C272" s="53" t="str">
        <f>IF(Contents!$B$2=2,"RR th.","тыс. руб.")</f>
        <v>RR th.</v>
      </c>
      <c r="D272" s="90" t="s">
        <v>185</v>
      </c>
      <c r="E272" s="96" t="s">
        <v>185</v>
      </c>
      <c r="F272" s="96">
        <v>6742</v>
      </c>
      <c r="G272" s="95">
        <v>16757</v>
      </c>
      <c r="H272" s="38"/>
      <c r="I272" s="56" t="str">
        <f>IF(Contents!$B$2=2,"PBCS 80","СОКБ 80")</f>
        <v>PBCS 80</v>
      </c>
      <c r="K272" s="56">
        <v>2</v>
      </c>
      <c r="L272" s="558"/>
      <c r="M272" s="595"/>
      <c r="N272" s="595"/>
      <c r="O272" s="22"/>
    </row>
    <row r="273" spans="2:15">
      <c r="B273" s="87" t="str">
        <f>IF(Contents!$B$2=2,"Expenses on supporting higher education organizations","Расходы, направленные на поддержку организаций высшего образования")</f>
        <v>Expenses on supporting higher education organizations</v>
      </c>
      <c r="C273" s="53" t="str">
        <f>IF(Contents!$B$2=2,"RR th.","тыс. руб.")</f>
        <v>RR th.</v>
      </c>
      <c r="D273" s="90" t="s">
        <v>185</v>
      </c>
      <c r="E273" s="107">
        <v>19900</v>
      </c>
      <c r="F273" s="107">
        <v>13502</v>
      </c>
      <c r="G273" s="204">
        <v>29960</v>
      </c>
      <c r="H273" s="38"/>
      <c r="I273" s="56" t="str">
        <f>IF(Contents!$B$2=2,"PBCS 80","СОКБ 80")</f>
        <v>PBCS 80</v>
      </c>
      <c r="K273" s="56">
        <v>2</v>
      </c>
      <c r="L273" s="558"/>
      <c r="M273" s="595"/>
      <c r="N273" s="595"/>
      <c r="O273" s="22"/>
    </row>
    <row r="274" spans="2:15">
      <c r="B274" s="87"/>
      <c r="C274" s="53"/>
      <c r="D274" s="90"/>
      <c r="E274" s="780"/>
      <c r="F274" s="776"/>
      <c r="G274" s="776"/>
      <c r="H274" s="38"/>
      <c r="I274" s="774"/>
      <c r="K274" s="558"/>
      <c r="M274" s="595"/>
      <c r="N274" s="595"/>
      <c r="O274" s="22"/>
    </row>
    <row r="275" spans="2:15">
      <c r="B275" s="25" t="str">
        <f>IF([1]Contents!$B$2=2,"Notes:","Примечания:")</f>
        <v>Примечания:</v>
      </c>
      <c r="C275" s="53"/>
      <c r="D275" s="90"/>
      <c r="E275" s="780"/>
      <c r="F275" s="776"/>
      <c r="G275" s="38"/>
      <c r="H275" s="774"/>
      <c r="J275" s="558"/>
      <c r="L275" s="595"/>
      <c r="M275" s="595"/>
      <c r="N275" s="22"/>
    </row>
    <row r="276" spans="2:15">
      <c r="B276" s="26" t="str">
        <f>IF(Contents!$B$2=2,C280, B280)</f>
        <v>Expenses on supporting general education organizations include funding for the corporate resource training centre based at Tarko-Salinsk College; Expenses on material and technical support of educational programs at boarding schools, and participation of schoolchildren in field trips.</v>
      </c>
      <c r="C276" s="53"/>
      <c r="D276" s="90"/>
      <c r="E276" s="780"/>
      <c r="F276" s="776"/>
      <c r="G276" s="38"/>
      <c r="H276" s="774"/>
      <c r="J276" s="558"/>
      <c r="L276" s="595"/>
      <c r="M276" s="595"/>
      <c r="N276" s="22"/>
    </row>
    <row r="277" spans="2:15">
      <c r="B277" s="26" t="str">
        <f>IF(Contents!$B$2=2,C281, B281)</f>
        <v>Expenses on supporting organizations implementing secondary vocational education programs include Expenses on the Grants program for schoolchildren and teachers.</v>
      </c>
      <c r="C277" s="53"/>
      <c r="D277" s="90"/>
      <c r="E277" s="780"/>
      <c r="F277" s="776"/>
      <c r="G277" s="38"/>
      <c r="H277" s="774"/>
      <c r="J277" s="558"/>
      <c r="L277" s="595"/>
      <c r="M277" s="595"/>
      <c r="N277" s="22"/>
    </row>
    <row r="278" spans="2:15">
      <c r="B278" s="26" t="str">
        <f>IF(Contents!$B$2=2,C282, B282)</f>
        <v>Expenses on career guidance programs and activities for children and youth include Expenses on the Gifted Children program.</v>
      </c>
      <c r="C278" s="53"/>
      <c r="D278" s="90"/>
      <c r="E278" s="780"/>
      <c r="F278" s="776"/>
      <c r="G278" s="38"/>
      <c r="H278" s="774"/>
      <c r="J278" s="558"/>
      <c r="L278" s="595"/>
      <c r="M278" s="595"/>
      <c r="N278" s="22"/>
    </row>
    <row r="279" spans="2:15">
      <c r="B279" s="26" t="str">
        <f>IF(Contents!$B$2=2,C283, B283)</f>
        <v>Expenses on supporting additional education for children and youth include Expenses on organizing project, design and research activities, lectures and practical classes for children and young people.</v>
      </c>
      <c r="C279" s="53"/>
      <c r="D279" s="90"/>
      <c r="E279" s="780"/>
      <c r="F279" s="776"/>
      <c r="G279" s="38"/>
      <c r="H279" s="774"/>
      <c r="J279" s="558"/>
      <c r="L279" s="595"/>
      <c r="M279" s="595"/>
      <c r="N279" s="22"/>
    </row>
    <row r="280" spans="2:15" hidden="1">
      <c r="B280" s="26" t="s">
        <v>20</v>
      </c>
      <c r="C280" s="53" t="s">
        <v>43</v>
      </c>
      <c r="D280" s="90"/>
      <c r="E280" s="780"/>
      <c r="F280" s="776"/>
      <c r="G280" s="38"/>
      <c r="H280" s="774"/>
      <c r="J280" s="558"/>
      <c r="L280" s="595"/>
      <c r="M280" s="595"/>
      <c r="N280" s="22"/>
    </row>
    <row r="281" spans="2:15" hidden="1">
      <c r="B281" s="26" t="s">
        <v>21</v>
      </c>
      <c r="C281" s="53" t="s">
        <v>42</v>
      </c>
      <c r="D281" s="90"/>
      <c r="E281" s="780"/>
      <c r="F281" s="776"/>
      <c r="G281" s="38"/>
      <c r="H281" s="774"/>
      <c r="J281" s="558"/>
      <c r="L281" s="595"/>
      <c r="M281" s="595"/>
      <c r="N281" s="22"/>
    </row>
    <row r="282" spans="2:15" hidden="1">
      <c r="B282" s="26" t="s">
        <v>22</v>
      </c>
      <c r="C282" s="53" t="s">
        <v>44</v>
      </c>
      <c r="D282" s="90"/>
      <c r="E282" s="780"/>
      <c r="F282" s="776"/>
      <c r="G282" s="38"/>
      <c r="H282" s="774"/>
      <c r="J282" s="558"/>
      <c r="L282" s="595"/>
      <c r="M282" s="595"/>
      <c r="N282" s="22"/>
    </row>
    <row r="283" spans="2:15" hidden="1">
      <c r="B283" s="26" t="str">
        <f>IF([1]Contents!$B$2=2,I284, H284)</f>
        <v>В расходы на поддержку дополнительного образования для детей и молодежи включены расходы на организацию проектной, проектно-исследовательской деятельности, лекционных и практических занятий для детей и молодежи.</v>
      </c>
      <c r="C283" s="53" t="s">
        <v>45</v>
      </c>
      <c r="D283" s="90"/>
      <c r="E283" s="780"/>
      <c r="F283" s="776"/>
      <c r="G283" s="38"/>
      <c r="H283" s="774"/>
      <c r="J283" s="558"/>
      <c r="L283" s="595"/>
      <c r="M283" s="595"/>
      <c r="N283" s="22"/>
    </row>
    <row r="284" spans="2:15" s="117" customFormat="1" ht="18">
      <c r="B284" s="115" t="s">
        <v>20</v>
      </c>
      <c r="C284" s="115" t="s">
        <v>43</v>
      </c>
      <c r="D284" s="779" t="s">
        <v>21</v>
      </c>
      <c r="E284" s="779" t="s">
        <v>42</v>
      </c>
      <c r="F284" s="779" t="s">
        <v>22</v>
      </c>
      <c r="G284" s="115" t="s">
        <v>44</v>
      </c>
      <c r="H284" s="779" t="s">
        <v>23</v>
      </c>
      <c r="I284" s="779" t="s">
        <v>45</v>
      </c>
      <c r="J284" s="779"/>
      <c r="K284" s="779"/>
      <c r="L284" s="601"/>
      <c r="M284" s="601"/>
      <c r="N284" s="778"/>
    </row>
    <row r="285" spans="2:15">
      <c r="B285" s="48" t="str">
        <f>IF(Contents!$B$2=2,"Shaping traditional Russian spiritual, moral, cultural and historical values","Формирование традиционных российских духовно-нравственных и культурно-исторических ценностей")</f>
        <v>Shaping traditional Russian spiritual, moral, cultural and historical values</v>
      </c>
      <c r="C285" s="49"/>
      <c r="D285" s="50"/>
      <c r="E285" s="50"/>
      <c r="F285" s="51"/>
      <c r="G285" s="51"/>
      <c r="H285" s="38"/>
      <c r="I285" s="39"/>
      <c r="K285" s="558"/>
      <c r="M285" s="595"/>
      <c r="N285" s="595"/>
      <c r="O285" s="22"/>
    </row>
    <row r="286" spans="2:15" ht="36">
      <c r="B286" s="52" t="str">
        <f>IF(Contents!$B$2=2,"Expenses on initiatives and projects aimed at shaping traditional Russian spiritual, moral, cultural and historical values","Расходы на инициативы и проекты, направленные на формирование традиционных российских духовно-нравственных и культурно-исторических ценностей")</f>
        <v>Expenses on initiatives and projects aimed at shaping traditional Russian spiritual, moral, cultural and historical values</v>
      </c>
      <c r="C286" s="53" t="str">
        <f>IF(Contents!$B$2=2,"RR th.","тыс. руб.")</f>
        <v>RR th.</v>
      </c>
      <c r="D286" s="90" t="s">
        <v>185</v>
      </c>
      <c r="E286" s="90" t="s">
        <v>185</v>
      </c>
      <c r="F286" s="90">
        <v>233500</v>
      </c>
      <c r="G286" s="95">
        <v>217900</v>
      </c>
      <c r="H286" s="38"/>
      <c r="I286" s="56" t="str">
        <f>IF(Contents!$B$2=2,"PBCS 81","СОКБ 81")</f>
        <v>PBCS 81</v>
      </c>
      <c r="K286" s="56">
        <v>2</v>
      </c>
      <c r="M286" s="595"/>
      <c r="N286" s="595"/>
      <c r="O286" s="22"/>
    </row>
    <row r="287" spans="2:15" ht="36">
      <c r="B287" s="52" t="str">
        <f>IF(Contents!$B$2=2,"Ratio of Expenses on initiatives and projects aimed at shaping traditional Russian spiritual, moral, cultural and historical values to revenue","Отношение расходов на инициативы и проекты, направленные на формирование традиционных духовно-нравственных и культурно-исторических ценностей, к выручке")</f>
        <v>Ratio of Expenses on initiatives and projects aimed at shaping traditional Russian spiritual, moral, cultural and historical values to revenue</v>
      </c>
      <c r="C287" s="53" t="s">
        <v>0</v>
      </c>
      <c r="D287" s="96" t="s">
        <v>185</v>
      </c>
      <c r="E287" s="96" t="s">
        <v>185</v>
      </c>
      <c r="F287" s="811">
        <v>1.4999999999999999E-2</v>
      </c>
      <c r="G287" s="917">
        <v>1.4999999999999999E-2</v>
      </c>
      <c r="H287" s="38"/>
      <c r="I287" s="56" t="str">
        <f>IF(Contents!$B$2=2,"PBCS 81","СОКБ 81")</f>
        <v>PBCS 81</v>
      </c>
      <c r="K287" s="56">
        <v>2</v>
      </c>
      <c r="M287" s="595"/>
      <c r="N287" s="595"/>
      <c r="O287" s="22"/>
    </row>
    <row r="288" spans="2:15">
      <c r="B288" s="52"/>
      <c r="C288" s="53"/>
      <c r="D288" s="91"/>
      <c r="E288" s="91"/>
      <c r="F288" s="91"/>
      <c r="G288" s="91"/>
      <c r="H288" s="38"/>
      <c r="I288" s="39"/>
      <c r="K288" s="558"/>
      <c r="M288" s="595"/>
      <c r="N288" s="595"/>
      <c r="O288" s="22"/>
    </row>
    <row r="289" spans="2:15">
      <c r="B289" s="25" t="str">
        <f>IF(Contents!$B$2=2,"Notes:","Примечания:")</f>
        <v>Notes:</v>
      </c>
      <c r="C289" s="53"/>
      <c r="D289" s="91"/>
      <c r="E289" s="91"/>
      <c r="F289" s="91"/>
      <c r="G289" s="91"/>
      <c r="H289" s="38"/>
      <c r="I289" s="39"/>
      <c r="K289" s="558"/>
      <c r="M289" s="595"/>
      <c r="N289" s="595"/>
      <c r="O289" s="22"/>
    </row>
    <row r="290" spans="2:15">
      <c r="B290" s="26" t="str">
        <f>IF(Contents!$B$2=2,C291, B291)</f>
        <v>The calculations include Expenses on supporting exhibition and outreach activities.</v>
      </c>
      <c r="C290" s="53"/>
      <c r="D290" s="91"/>
      <c r="E290" s="91"/>
      <c r="F290" s="91"/>
      <c r="G290" s="91"/>
      <c r="H290" s="38"/>
      <c r="I290" s="39"/>
      <c r="K290" s="558"/>
      <c r="M290" s="595"/>
      <c r="N290" s="595"/>
      <c r="O290" s="22"/>
    </row>
    <row r="291" spans="2:15">
      <c r="B291" s="113" t="s">
        <v>24</v>
      </c>
      <c r="C291" s="115" t="s">
        <v>46</v>
      </c>
      <c r="D291" s="91"/>
      <c r="E291" s="91"/>
      <c r="F291" s="91"/>
      <c r="G291" s="91"/>
      <c r="H291" s="38"/>
      <c r="I291" s="39"/>
      <c r="K291" s="558"/>
      <c r="M291" s="595"/>
      <c r="N291" s="595"/>
      <c r="O291" s="22"/>
    </row>
    <row r="292" spans="2:15">
      <c r="B292" s="48" t="str">
        <f>IF(Contents!$B$2=2,"Volunteer activities","Добровольческая (волонтерская) деятельность")</f>
        <v>Volunteer activities</v>
      </c>
      <c r="C292" s="49"/>
      <c r="D292" s="50"/>
      <c r="E292" s="50"/>
      <c r="F292" s="50"/>
      <c r="G292" s="50"/>
      <c r="H292" s="38"/>
      <c r="I292" s="39"/>
      <c r="K292" s="558"/>
      <c r="M292" s="595"/>
      <c r="N292" s="595"/>
      <c r="O292" s="22"/>
    </row>
    <row r="293" spans="2:15">
      <c r="B293" s="52" t="str">
        <f>IF(Contents!$B$2=2,"Expenses on volunteer activities","Расходы на добровольческую (волонтерскую) деятельность")</f>
        <v>Expenses on volunteer activities</v>
      </c>
      <c r="C293" s="53" t="str">
        <f>IF(Contents!$B$2=2,"RR th.","тыс. руб.")</f>
        <v>RR th.</v>
      </c>
      <c r="D293" s="96" t="s">
        <v>185</v>
      </c>
      <c r="E293" s="96" t="s">
        <v>185</v>
      </c>
      <c r="F293" s="96">
        <v>700</v>
      </c>
      <c r="G293" s="96">
        <v>800</v>
      </c>
      <c r="H293" s="38"/>
      <c r="I293" s="774" t="str">
        <f>IF(Contents!$B$2=2,"PBCS 82","СОКБ 82")</f>
        <v>PBCS 82</v>
      </c>
      <c r="K293" s="558">
        <v>2</v>
      </c>
      <c r="M293" s="595"/>
      <c r="N293" s="595"/>
      <c r="O293" s="22"/>
    </row>
    <row r="294" spans="2:15">
      <c r="B294" s="52" t="str">
        <f>IF(Contents!$B$2=2,"Ratio of Expenses on volunteer activities to revenue","Отношение расходов на добровольческую (волонтерскую) деятельность к выручке")</f>
        <v>Ratio of Expenses on volunteer activities to revenue</v>
      </c>
      <c r="C294" s="53" t="s">
        <v>7</v>
      </c>
      <c r="D294" s="96" t="s">
        <v>185</v>
      </c>
      <c r="E294" s="96" t="s">
        <v>185</v>
      </c>
      <c r="F294" s="815">
        <v>4.5000000000000003E-5</v>
      </c>
      <c r="G294" s="815">
        <v>5.5000000000000002E-5</v>
      </c>
      <c r="H294" s="38"/>
      <c r="I294" s="774" t="str">
        <f>IF(Contents!$B$2=2,"PBCS 82","СОКБ 82")</f>
        <v>PBCS 82</v>
      </c>
      <c r="K294" s="558">
        <v>2</v>
      </c>
      <c r="M294" s="595"/>
      <c r="N294" s="595"/>
      <c r="O294" s="22"/>
    </row>
    <row r="295" spans="2:15">
      <c r="B295" s="52"/>
      <c r="C295" s="53"/>
      <c r="D295" s="91"/>
      <c r="E295" s="91"/>
      <c r="F295" s="91"/>
      <c r="G295" s="91"/>
      <c r="H295" s="38"/>
      <c r="I295" s="39"/>
      <c r="K295" s="558"/>
      <c r="M295" s="595"/>
      <c r="N295" s="595"/>
      <c r="O295" s="22"/>
    </row>
    <row r="296" spans="2:15">
      <c r="B296" s="48" t="str">
        <f>IF(Contents!$B$2=2,"Infrastructure development for culture, art, and folk arts","Развитие инфраструктуры в сфере культуры, искусства и народного творчества")</f>
        <v>Infrastructure development for culture, art, and folk arts</v>
      </c>
      <c r="C296" s="49"/>
      <c r="D296" s="50"/>
      <c r="E296" s="50"/>
      <c r="F296" s="50"/>
      <c r="G296" s="50"/>
      <c r="H296" s="38"/>
      <c r="I296" s="39"/>
      <c r="K296" s="558"/>
      <c r="M296" s="595"/>
      <c r="N296" s="595"/>
      <c r="O296" s="22"/>
    </row>
    <row r="297" spans="2:15">
      <c r="B297" s="52" t="str">
        <f>IF(Contents!$B$2=2,"Expenses on infrastructure development for culture, art, and folk arts","Расходы на развитие инфраструктуры в сфере культуры, искусства и народного творчества")</f>
        <v>Expenses on infrastructure development for culture, art, and folk arts</v>
      </c>
      <c r="C297" s="53" t="str">
        <f>IF(Contents!$B$2=2,"RR th.","тыс. руб.")</f>
        <v>RR th.</v>
      </c>
      <c r="D297" s="96" t="s">
        <v>185</v>
      </c>
      <c r="E297" s="107">
        <v>1200</v>
      </c>
      <c r="F297" s="107">
        <v>1400</v>
      </c>
      <c r="G297" s="793">
        <v>1500</v>
      </c>
      <c r="H297" s="38"/>
      <c r="I297" s="774" t="str">
        <f>IF(Contents!$B$2=2,"PBCS 83","СОКБ 83")</f>
        <v>PBCS 83</v>
      </c>
      <c r="K297" s="56">
        <v>2</v>
      </c>
      <c r="M297" s="595"/>
      <c r="N297" s="595"/>
      <c r="O297" s="22"/>
    </row>
    <row r="298" spans="2:15" ht="36">
      <c r="B298" s="52" t="str">
        <f>IF(Contents!$B$2=2,"Ratio of Expenses on infrastructure development for culture, art, and folk arts to revenue","Отношение расходов на развитие инфраструктуры в сфере культуры, искусства и народного творчества к выручке")</f>
        <v>Ratio of Expenses on infrastructure development for culture, art, and folk arts to revenue</v>
      </c>
      <c r="C298" s="53" t="s">
        <v>7</v>
      </c>
      <c r="D298" s="96" t="s">
        <v>185</v>
      </c>
      <c r="E298" s="816">
        <v>8.7000000000000001E-5</v>
      </c>
      <c r="F298" s="816">
        <v>9.1000000000000003E-5</v>
      </c>
      <c r="G298" s="919">
        <v>1.0399999999999999E-4</v>
      </c>
      <c r="H298" s="38"/>
      <c r="I298" s="774" t="str">
        <f>IF(Contents!$B$2=2,"PBCS 83","СОКБ 83")</f>
        <v>PBCS 83</v>
      </c>
      <c r="K298" s="56">
        <v>2</v>
      </c>
      <c r="M298" s="595"/>
      <c r="N298" s="595"/>
      <c r="O298" s="22"/>
    </row>
    <row r="299" spans="2:15">
      <c r="B299" s="52"/>
      <c r="C299" s="53"/>
      <c r="D299" s="91"/>
      <c r="E299" s="91"/>
      <c r="F299" s="91"/>
      <c r="G299" s="91"/>
      <c r="H299" s="38"/>
      <c r="I299" s="39"/>
      <c r="K299" s="558"/>
      <c r="M299" s="595"/>
      <c r="N299" s="595"/>
      <c r="O299" s="22"/>
    </row>
    <row r="300" spans="2:15">
      <c r="B300" s="25" t="str">
        <f>IF(Contents!$B$2=2,"Notes:","Примечания:")</f>
        <v>Notes:</v>
      </c>
      <c r="C300" s="61"/>
      <c r="D300" s="108"/>
      <c r="E300" s="108"/>
      <c r="F300" s="108"/>
      <c r="G300" s="108"/>
      <c r="H300" s="38"/>
      <c r="I300" s="39"/>
      <c r="K300" s="558"/>
      <c r="M300" s="595"/>
      <c r="N300" s="595"/>
      <c r="O300" s="22"/>
    </row>
    <row r="301" spans="2:15">
      <c r="B301" s="26" t="str">
        <f>IF(Contents!$B$2=2,C302, B302)</f>
        <v>The calculations include Expenses on restoring memorials.</v>
      </c>
      <c r="C301" s="61"/>
      <c r="D301" s="108"/>
      <c r="E301" s="108"/>
      <c r="F301" s="108"/>
      <c r="G301" s="108"/>
      <c r="H301" s="38"/>
      <c r="I301" s="39"/>
      <c r="K301" s="558"/>
      <c r="M301" s="595"/>
      <c r="N301" s="595"/>
      <c r="O301" s="22"/>
    </row>
    <row r="302" spans="2:15">
      <c r="B302" s="113" t="s">
        <v>25</v>
      </c>
      <c r="C302" s="775" t="s">
        <v>31</v>
      </c>
      <c r="D302" s="91"/>
      <c r="E302" s="91"/>
      <c r="F302" s="91"/>
      <c r="G302" s="91"/>
      <c r="H302" s="38"/>
      <c r="I302" s="39"/>
      <c r="K302" s="558"/>
      <c r="M302" s="595"/>
      <c r="N302" s="595"/>
      <c r="O302" s="22"/>
    </row>
    <row r="303" spans="2:15">
      <c r="B303" s="45" t="str">
        <f>IF(Contents!$B$2=2,"Comfortable and safe living environment","Комфортная и безопасная среда для жизни")</f>
        <v>Comfortable and safe living environment</v>
      </c>
      <c r="C303" s="45"/>
      <c r="D303" s="719"/>
      <c r="E303" s="719"/>
      <c r="F303" s="719"/>
      <c r="G303" s="719"/>
      <c r="H303" s="38"/>
      <c r="I303" s="39"/>
      <c r="K303" s="558"/>
      <c r="M303" s="595"/>
      <c r="N303" s="595"/>
      <c r="O303" s="22"/>
    </row>
    <row r="304" spans="2:15">
      <c r="B304" s="48" t="str">
        <f>IF(Contents!$B$2=2,"Improving housing conditions of employees and local community members","Улучшение жилищных условий работников и представителей местных сообществ")</f>
        <v>Improving housing conditions of employees and local community members</v>
      </c>
      <c r="C304" s="49"/>
      <c r="D304" s="50"/>
      <c r="E304" s="50"/>
      <c r="F304" s="51"/>
      <c r="G304" s="51"/>
      <c r="H304" s="38"/>
      <c r="I304" s="39"/>
      <c r="K304" s="558"/>
      <c r="M304" s="595"/>
      <c r="N304" s="595"/>
      <c r="O304" s="22"/>
    </row>
    <row r="305" spans="2:15" ht="36">
      <c r="B305" s="52" t="str">
        <f>IF(Contents!$B$2=2,"Expenses on improving housing conditions of employees and local community members","Расходы на улучшение жилищных условий работников и представителей местных сообществ")</f>
        <v>Expenses on improving housing conditions of employees and local community members</v>
      </c>
      <c r="C305" s="53" t="str">
        <f>IF(Contents!$B$2=2,"RR th.","тыс. руб.")</f>
        <v>RR th.</v>
      </c>
      <c r="D305" s="46">
        <v>263600</v>
      </c>
      <c r="E305" s="46">
        <v>955400</v>
      </c>
      <c r="F305" s="46">
        <v>1025800</v>
      </c>
      <c r="G305" s="104">
        <v>738000</v>
      </c>
      <c r="H305" s="38"/>
      <c r="I305" s="774" t="str">
        <f>IF(Contents!$B$2=2,"PBCS 84","СОКБ 84")</f>
        <v>PBCS 84</v>
      </c>
      <c r="K305" s="558">
        <v>2</v>
      </c>
      <c r="M305" s="595"/>
      <c r="N305" s="595"/>
      <c r="O305" s="22"/>
    </row>
    <row r="306" spans="2:15">
      <c r="B306" s="87" t="str">
        <f>IF(Contents!$B$2=2,"Expenses on improving employee housing conditions","Расходы на улучшение жилищных условий работников")</f>
        <v>Expenses on improving employee housing conditions</v>
      </c>
      <c r="C306" s="53" t="str">
        <f>IF(Contents!$B$2=2,"RR th.","тыс. руб.")</f>
        <v>RR th.</v>
      </c>
      <c r="D306" s="46">
        <v>263600</v>
      </c>
      <c r="E306" s="46">
        <v>955400</v>
      </c>
      <c r="F306" s="46">
        <v>1025800</v>
      </c>
      <c r="G306" s="104">
        <v>738000</v>
      </c>
      <c r="H306" s="38"/>
      <c r="I306" s="774" t="str">
        <f>IF(Contents!$B$2=2,"PBCS 84","СОКБ 84")</f>
        <v>PBCS 84</v>
      </c>
      <c r="K306" s="558">
        <v>2</v>
      </c>
      <c r="M306" s="595"/>
      <c r="N306" s="595"/>
      <c r="O306" s="22"/>
    </row>
    <row r="307" spans="2:15">
      <c r="B307" s="87" t="str">
        <f>IF(Contents!$B$2=2,"Expenses on improving housing conditions of local community members","Расходы на улучшение жилищных условий представителей местных сообществ")</f>
        <v>Expenses on improving housing conditions of local community members</v>
      </c>
      <c r="C307" s="53" t="str">
        <f>IF(Contents!$B$2=2,"RR th.","тыс. руб.")</f>
        <v>RR th.</v>
      </c>
      <c r="D307" s="91" t="s">
        <v>185</v>
      </c>
      <c r="E307" s="91" t="s">
        <v>185</v>
      </c>
      <c r="F307" s="91" t="s">
        <v>185</v>
      </c>
      <c r="G307" s="793" t="s">
        <v>185</v>
      </c>
      <c r="H307" s="38"/>
      <c r="I307" s="774" t="str">
        <f>IF(Contents!$B$2=2,"PBCS 84","СОКБ 84")</f>
        <v>PBCS 84</v>
      </c>
      <c r="K307" s="558"/>
      <c r="M307" s="595"/>
      <c r="N307" s="595"/>
      <c r="O307" s="22"/>
    </row>
    <row r="308" spans="2:15" ht="36">
      <c r="B308" s="52" t="str">
        <f>IF(Contents!$B$2=2,"Ratio of Expenses on improving housing conditions of employees and local community members to revenue","Отношение расходов на улучшение жилищных условий работников и представителей местных сообществ к выручке")</f>
        <v>Ratio of Expenses on improving housing conditions of employees and local community members to revenue</v>
      </c>
      <c r="C308" s="53" t="s">
        <v>0</v>
      </c>
      <c r="D308" s="107" t="s">
        <v>185</v>
      </c>
      <c r="E308" s="799">
        <v>6.9661000000000001E-2</v>
      </c>
      <c r="F308" s="799">
        <v>6.6358E-2</v>
      </c>
      <c r="G308" s="901">
        <v>5.1052E-2</v>
      </c>
      <c r="H308" s="38"/>
      <c r="I308" s="774" t="str">
        <f>IF(Contents!$B$2=2,"PBCS 84","СОКБ 84")</f>
        <v>PBCS 84</v>
      </c>
      <c r="K308" s="558">
        <v>2</v>
      </c>
      <c r="M308" s="595"/>
      <c r="N308" s="595"/>
      <c r="O308" s="22"/>
    </row>
    <row r="309" spans="2:15">
      <c r="B309" s="87" t="str">
        <f>IF(Contents!$B$2=2,"Ratio of Expenses on improving employee housing conditions to revenue","Отношение расходов на улучшение жилищных условий работников к  выручке")</f>
        <v>Ratio of Expenses on improving employee housing conditions to revenue</v>
      </c>
      <c r="C309" s="53" t="s">
        <v>0</v>
      </c>
      <c r="D309" s="107" t="s">
        <v>185</v>
      </c>
      <c r="E309" s="799">
        <v>6.9661000000000001E-2</v>
      </c>
      <c r="F309" s="799">
        <v>6.6358E-2</v>
      </c>
      <c r="G309" s="901">
        <v>5.1052E-2</v>
      </c>
      <c r="H309" s="38"/>
      <c r="I309" s="774" t="str">
        <f>IF(Contents!$B$2=2,"PBCS 84","СОКБ 84")</f>
        <v>PBCS 84</v>
      </c>
      <c r="K309" s="558">
        <v>2</v>
      </c>
      <c r="M309" s="595"/>
      <c r="N309" s="595"/>
      <c r="O309" s="22"/>
    </row>
    <row r="310" spans="2:15">
      <c r="B310" s="87"/>
      <c r="C310" s="53"/>
      <c r="D310" s="46"/>
      <c r="E310" s="46"/>
      <c r="F310" s="46"/>
      <c r="G310" s="46"/>
      <c r="H310" s="38"/>
      <c r="I310" s="774"/>
      <c r="K310" s="558"/>
      <c r="M310" s="595"/>
      <c r="N310" s="595"/>
      <c r="O310" s="22"/>
    </row>
    <row r="311" spans="2:15">
      <c r="B311" s="25" t="str">
        <f>IF(Contents!$B$2=2,"Notes:","Примечания:")</f>
        <v>Notes:</v>
      </c>
      <c r="C311" s="61"/>
      <c r="D311" s="46"/>
      <c r="E311" s="46"/>
      <c r="F311" s="46"/>
      <c r="G311" s="46"/>
      <c r="H311" s="38"/>
      <c r="I311" s="774"/>
      <c r="K311" s="558"/>
      <c r="M311" s="595"/>
      <c r="N311" s="595"/>
      <c r="O311" s="22"/>
    </row>
    <row r="312" spans="2:15">
      <c r="B312" s="26" t="str">
        <f>IF(Contents!$B$2=2,C313, B313)</f>
        <v>The calculations include Expenses under the Interest-free special-purpose loan to purchase housing program.</v>
      </c>
      <c r="C312" s="61"/>
      <c r="D312" s="46"/>
      <c r="E312" s="46"/>
      <c r="F312" s="46"/>
      <c r="G312" s="46"/>
      <c r="H312" s="38"/>
      <c r="I312" s="774"/>
      <c r="K312" s="558"/>
      <c r="M312" s="595"/>
      <c r="N312" s="595"/>
      <c r="O312" s="22"/>
    </row>
    <row r="313" spans="2:15">
      <c r="B313" s="113" t="s">
        <v>47</v>
      </c>
      <c r="C313" s="775" t="s">
        <v>48</v>
      </c>
      <c r="D313" s="91"/>
      <c r="E313" s="91"/>
      <c r="F313" s="91"/>
      <c r="G313" s="91"/>
      <c r="H313" s="38"/>
      <c r="I313" s="39"/>
      <c r="K313" s="558"/>
      <c r="M313" s="595"/>
      <c r="N313" s="595"/>
      <c r="O313" s="22"/>
    </row>
    <row r="314" spans="2:15" ht="36">
      <c r="B314" s="48" t="str">
        <f>IF(Contents!$B$2=2,"Urban improvement and integrated development of cities and other settlements","Повышение благоустройства и комплексное развитие городов и других населенных пунктов")</f>
        <v>Urban improvement and integrated development of cities and other settlements</v>
      </c>
      <c r="C314" s="49"/>
      <c r="D314" s="50"/>
      <c r="E314" s="50"/>
      <c r="F314" s="51"/>
      <c r="G314" s="51"/>
      <c r="H314" s="38"/>
      <c r="I314" s="39"/>
      <c r="K314" s="558"/>
      <c r="M314" s="595"/>
      <c r="N314" s="595"/>
      <c r="O314" s="22"/>
    </row>
    <row r="315" spans="2:15" ht="36">
      <c r="B315" s="52" t="str">
        <f>IF(Contents!$B$2=2,"Expenses on urban improvement and integrated development of cities and other settlements","Расходы на повышение благоустройства и комплексное развитие городов и других населенных пунктов")</f>
        <v>Expenses on urban improvement and integrated development of cities and other settlements</v>
      </c>
      <c r="C315" s="53" t="str">
        <f>IF(Contents!$B$2=2,"RR th.","тыс. руб.")</f>
        <v>RR th.</v>
      </c>
      <c r="D315" s="90" t="s">
        <v>185</v>
      </c>
      <c r="E315" s="46">
        <v>2165258</v>
      </c>
      <c r="F315" s="46">
        <v>1516625</v>
      </c>
      <c r="G315" s="104">
        <v>1461300</v>
      </c>
      <c r="H315" s="38"/>
      <c r="I315" s="774" t="str">
        <f>IF(Contents!$B$2=2,"PBCS 85","СОКБ 85")</f>
        <v>PBCS 85</v>
      </c>
      <c r="K315" s="56">
        <v>2</v>
      </c>
      <c r="M315" s="595"/>
      <c r="N315" s="595"/>
      <c r="O315" s="22"/>
    </row>
    <row r="316" spans="2:15" ht="36">
      <c r="B316" s="52" t="str">
        <f>IF(Contents!$B$2=2,"Ratio of Expenses on urban improvement and integrated development of cities and other settlements to revenue","Отношение расходов на повышение благоустройства и комплексное развитие городов и других населенных пунктов к выручке")</f>
        <v>Ratio of Expenses on urban improvement and integrated development of cities and other settlements to revenue</v>
      </c>
      <c r="C316" s="53" t="s">
        <v>0</v>
      </c>
      <c r="D316" s="96" t="s">
        <v>185</v>
      </c>
      <c r="E316" s="776">
        <v>0.15787399999999999</v>
      </c>
      <c r="F316" s="867">
        <v>9.8109000000000002E-2</v>
      </c>
      <c r="G316" s="787">
        <v>0.101087</v>
      </c>
      <c r="H316" s="38"/>
      <c r="I316" s="774" t="str">
        <f>IF(Contents!$B$2=2,"PBCS 85","СОКБ 85")</f>
        <v>PBCS 85</v>
      </c>
      <c r="K316" s="56">
        <v>2</v>
      </c>
      <c r="M316" s="595"/>
      <c r="N316" s="595"/>
      <c r="O316" s="22"/>
    </row>
    <row r="317" spans="2:15">
      <c r="B317" s="52"/>
      <c r="C317" s="53"/>
      <c r="D317" s="91"/>
      <c r="E317" s="91"/>
      <c r="F317" s="91"/>
      <c r="G317" s="91"/>
      <c r="H317" s="38"/>
      <c r="I317" s="39"/>
      <c r="K317" s="558"/>
      <c r="M317" s="595"/>
      <c r="N317" s="595"/>
      <c r="O317" s="22"/>
    </row>
    <row r="318" spans="2:15">
      <c r="B318" s="25" t="str">
        <f>IF(Contents!$B$2=2,"Notes:","Примечания:")</f>
        <v>Notes:</v>
      </c>
      <c r="C318" s="53"/>
      <c r="D318" s="91"/>
      <c r="E318" s="91"/>
      <c r="F318" s="91"/>
      <c r="G318" s="91"/>
      <c r="H318" s="38"/>
      <c r="I318" s="39"/>
      <c r="K318" s="558"/>
      <c r="M318" s="595"/>
      <c r="N318" s="595"/>
      <c r="O318" s="22"/>
    </row>
    <row r="319" spans="2:15">
      <c r="B319" s="26" t="str">
        <f>IF(Contents!$B$2=2,C320, B320)</f>
        <v xml:space="preserve">The calculations include Expenses on construction and material and technical equipment of social infrastructure facilities. </v>
      </c>
      <c r="C319" s="53"/>
      <c r="D319" s="91"/>
      <c r="E319" s="91"/>
      <c r="F319" s="91"/>
      <c r="G319" s="91"/>
      <c r="H319" s="38"/>
      <c r="I319" s="39"/>
      <c r="K319" s="558"/>
      <c r="M319" s="595"/>
      <c r="N319" s="595"/>
      <c r="O319" s="22"/>
    </row>
    <row r="320" spans="2:15">
      <c r="B320" s="115" t="s">
        <v>26</v>
      </c>
      <c r="C320" s="115" t="s">
        <v>32</v>
      </c>
      <c r="D320" s="91"/>
      <c r="E320" s="91"/>
      <c r="F320" s="91"/>
      <c r="G320" s="91"/>
      <c r="H320" s="38"/>
      <c r="I320" s="39"/>
      <c r="K320" s="558"/>
      <c r="M320" s="595"/>
      <c r="N320" s="595"/>
      <c r="O320" s="22"/>
    </row>
    <row r="321" spans="2:15">
      <c r="B321" s="45" t="str">
        <f>IF(Contents!$B$2=2,"Environmental well-being","Экологическое благополучие")</f>
        <v>Environmental well-being</v>
      </c>
      <c r="C321" s="45"/>
      <c r="D321" s="719"/>
      <c r="E321" s="719"/>
      <c r="F321" s="719"/>
      <c r="G321" s="719"/>
      <c r="H321" s="29"/>
      <c r="I321" s="39"/>
      <c r="K321" s="558"/>
      <c r="M321" s="595"/>
      <c r="N321" s="595"/>
      <c r="O321" s="22"/>
    </row>
    <row r="322" spans="2:15">
      <c r="B322" s="52" t="str">
        <f>IF(Contents!$B$2=2,"Expenses on implementation of activities related to environmental protection","Расходы на реализацию мероприятий, связанных с охраной окружающей среды")</f>
        <v>Expenses on implementation of activities related to environmental protection</v>
      </c>
      <c r="C322" s="53" t="str">
        <f>IF(Contents!$B$2=2,"RR th.","тыс. руб.")</f>
        <v>RR th.</v>
      </c>
      <c r="D322" s="91">
        <v>2570495</v>
      </c>
      <c r="E322" s="91">
        <v>3088228</v>
      </c>
      <c r="F322" s="91">
        <v>3428809</v>
      </c>
      <c r="G322" s="793">
        <v>3277126.3</v>
      </c>
      <c r="H322" s="38"/>
      <c r="I322" s="56" t="str">
        <f>IF(Contents!$B$2=2,"PBCS 11","СОКБ 10")</f>
        <v>PBCS 11</v>
      </c>
      <c r="K322" s="277">
        <v>2</v>
      </c>
      <c r="L322" s="297"/>
      <c r="M322" s="589"/>
      <c r="N322" s="589"/>
    </row>
    <row r="323" spans="2:15" ht="36">
      <c r="B323" s="52" t="str">
        <f>IF(Contents!$B$2=2,"Ratio of Expenses on implementation of activities related to environmental protection to revenue","Отношение расходов на реализацию мероприятий, связанных с охраной окружающей среды, к выручке")</f>
        <v>Ratio of Expenses on implementation of activities related to environmental protection to revenue</v>
      </c>
      <c r="C323" s="53" t="s">
        <v>0</v>
      </c>
      <c r="D323" s="110" t="s">
        <v>185</v>
      </c>
      <c r="E323" s="811">
        <v>0.22517000000000001</v>
      </c>
      <c r="F323" s="811">
        <v>0.221807</v>
      </c>
      <c r="G323" s="901">
        <v>0.22669800000000001</v>
      </c>
      <c r="H323" s="38"/>
      <c r="I323" s="774" t="str">
        <f>IF(Contents!$B$2=2,"PBCS 87","СОКБ 87")</f>
        <v>PBCS 87</v>
      </c>
      <c r="K323" s="277">
        <v>2</v>
      </c>
      <c r="L323" s="297"/>
      <c r="M323" s="589"/>
      <c r="N323" s="589"/>
    </row>
    <row r="324" spans="2:15">
      <c r="B324" s="52"/>
      <c r="C324" s="53"/>
      <c r="D324" s="91"/>
      <c r="E324" s="91"/>
      <c r="F324" s="91"/>
      <c r="G324" s="91"/>
      <c r="H324" s="38"/>
      <c r="I324" s="39"/>
      <c r="K324" s="558"/>
      <c r="M324" s="589"/>
      <c r="N324" s="589"/>
    </row>
    <row r="325" spans="2:15">
      <c r="B325" s="45" t="str">
        <f>IF(Contents!$B$2=2,"Sustainable and dynamic economy","Устойчивая и динамичная экономика")</f>
        <v>Sustainable and dynamic economy</v>
      </c>
      <c r="C325" s="45"/>
      <c r="D325" s="719"/>
      <c r="E325" s="719"/>
      <c r="F325" s="719"/>
      <c r="G325" s="719"/>
      <c r="H325" s="38"/>
      <c r="I325" s="39"/>
      <c r="K325" s="558"/>
      <c r="M325" s="589"/>
      <c r="N325" s="589"/>
    </row>
    <row r="326" spans="2:15">
      <c r="B326" s="48" t="str">
        <f>IF(Contents!$B$2=2,"Corporate non-state pension and long-term savings programs","Корпоративные программы негосударственного пенсионного обеспечения и долгосрочных сбережений")</f>
        <v>Corporate non-state pension and long-term savings programs</v>
      </c>
      <c r="C326" s="49"/>
      <c r="D326" s="50"/>
      <c r="E326" s="50"/>
      <c r="F326" s="50"/>
      <c r="G326" s="50"/>
      <c r="H326" s="38"/>
      <c r="I326" s="39"/>
      <c r="K326" s="558"/>
      <c r="M326" s="589"/>
      <c r="N326" s="589"/>
    </row>
    <row r="327" spans="2:15" ht="36">
      <c r="B327" s="52" t="str">
        <f>IF(Contents!$B$2=2,"Expenses on corporate programs of non-state pension provision and/or long-term savings programs","Расходы на корпоративные программы негосударственного пенсионного обеспечения и (или) долгосрочных сбережений")</f>
        <v>Expenses on corporate programs of non-state pension provision and/or long-term savings programs</v>
      </c>
      <c r="C327" s="53" t="str">
        <f>IF(Contents!$B$2=2,"RR th.","тыс. руб.")</f>
        <v>RR th.</v>
      </c>
      <c r="D327" s="107">
        <v>159100</v>
      </c>
      <c r="E327" s="107">
        <v>214300</v>
      </c>
      <c r="F327" s="107">
        <v>243200</v>
      </c>
      <c r="G327" s="793">
        <v>292000</v>
      </c>
      <c r="H327" s="38"/>
      <c r="I327" s="774" t="str">
        <f>IF(Contents!$B$2=2,"PBCS 88","СОКБ 88")</f>
        <v>PBCS 88</v>
      </c>
      <c r="K327" s="558">
        <v>2</v>
      </c>
      <c r="M327" s="589"/>
      <c r="N327" s="589"/>
    </row>
    <row r="328" spans="2:15">
      <c r="B328" s="87" t="str">
        <f>IF(Contents!$B$2=2,"average per employee (average number of employees)","в среднем на одного работника (на среднесписочную численность работников)")</f>
        <v>average per employee (average number of employees)</v>
      </c>
      <c r="C328" s="53" t="str">
        <f>IF(Contents!$B$2=2,"RR th.","тыс. руб.")</f>
        <v>RR th.</v>
      </c>
      <c r="D328" s="812" t="s">
        <v>185</v>
      </c>
      <c r="E328" s="812" t="s">
        <v>185</v>
      </c>
      <c r="F328" s="812" t="s">
        <v>185</v>
      </c>
      <c r="G328" s="913">
        <v>13</v>
      </c>
      <c r="I328" s="774" t="str">
        <f>IF(Contents!$B$2=2,"PBCS 88","СОКБ 88")</f>
        <v>PBCS 88</v>
      </c>
      <c r="K328" s="56">
        <v>2</v>
      </c>
      <c r="M328" s="589"/>
      <c r="N328" s="589"/>
    </row>
    <row r="329" spans="2:15" ht="36">
      <c r="B329" s="52" t="str">
        <f>IF(Contents!$B$2=2,"Ratio of Expenses on corporate programs of non-state pension provision and/or long-term savings programs to revenue","Отношение расходов на корпоративные программы негосударственного пенсионного обеспечения и (или) долгосрочных сбережений к выручке")</f>
        <v>Ratio of Expenses on corporate programs of non-state pension provision and/or long-term savings programs to revenue</v>
      </c>
      <c r="C329" s="53" t="s">
        <v>7</v>
      </c>
      <c r="D329" s="812" t="s">
        <v>185</v>
      </c>
      <c r="E329" s="811">
        <v>1.5625E-2</v>
      </c>
      <c r="F329" s="811">
        <v>1.5731999999999999E-2</v>
      </c>
      <c r="G329" s="917">
        <v>2.0199000000000002E-2</v>
      </c>
      <c r="H329" s="38"/>
      <c r="I329" s="774" t="str">
        <f>IF(Contents!$B$2=2,"PBCS 88","СОКБ 88")</f>
        <v>PBCS 88</v>
      </c>
      <c r="K329" s="558">
        <v>2</v>
      </c>
      <c r="M329" s="589"/>
      <c r="N329" s="589"/>
    </row>
    <row r="330" spans="2:15">
      <c r="B330" s="52"/>
      <c r="C330" s="53"/>
      <c r="D330" s="91"/>
      <c r="E330" s="91"/>
      <c r="F330" s="91"/>
      <c r="G330" s="91"/>
      <c r="H330" s="38"/>
      <c r="I330" s="39"/>
      <c r="K330" s="558"/>
      <c r="M330" s="589"/>
      <c r="N330" s="589"/>
    </row>
    <row r="331" spans="2:15">
      <c r="B331" s="48" t="str">
        <f>IF(Contents!$B$2=2,"Enhancing the tourism appeal of the Russian Federation territory","Повышение туристической привлекательности территории РФ")</f>
        <v>Enhancing the tourism appeal of the Russian Federation territory</v>
      </c>
      <c r="C331" s="49"/>
      <c r="D331" s="50"/>
      <c r="E331" s="50"/>
      <c r="F331" s="50"/>
      <c r="G331" s="50"/>
      <c r="H331" s="38"/>
      <c r="I331" s="39"/>
      <c r="K331" s="558"/>
      <c r="M331" s="589"/>
      <c r="N331" s="589"/>
    </row>
    <row r="332" spans="2:15" ht="36">
      <c r="B332" s="52" t="str">
        <f>IF(Contents!$B$2=2,"Expenses on projects to enhance the tourism appeal of the Russian Federation territory","Расходы на проекты по повышению туристической привлекательности территории РФ")</f>
        <v>Expenses on projects to enhance the tourism appeal of the Russian Federation territory</v>
      </c>
      <c r="C332" s="53" t="str">
        <f>IF(Contents!$B$2=2,"RR th.","тыс. руб.")</f>
        <v>RR th.</v>
      </c>
      <c r="D332" s="809" t="s">
        <v>185</v>
      </c>
      <c r="E332" s="96">
        <v>510</v>
      </c>
      <c r="F332" s="96">
        <v>10200</v>
      </c>
      <c r="G332" s="793">
        <v>11500</v>
      </c>
      <c r="H332" s="38"/>
      <c r="I332" s="774" t="str">
        <f>IF(Contents!$B$2=2,"PBCS 89","СОКБ 89")</f>
        <v>PBCS 89</v>
      </c>
      <c r="K332" s="56">
        <v>2</v>
      </c>
      <c r="M332" s="589"/>
      <c r="N332" s="589"/>
    </row>
    <row r="333" spans="2:15">
      <c r="B333" s="52" t="str">
        <f>IF(Contents!$B$2=2,"Ratio of Expenses on the domestic tourism development to revenue","Отношение расходов на развитие внутреннего туризма к выручке")</f>
        <v>Ratio of Expenses on the domestic tourism development to revenue</v>
      </c>
      <c r="C333" s="53" t="s">
        <v>7</v>
      </c>
      <c r="D333" s="809" t="s">
        <v>185</v>
      </c>
      <c r="E333" s="815">
        <v>3.6999999999999998E-5</v>
      </c>
      <c r="F333" s="814">
        <v>6.6E-4</v>
      </c>
      <c r="G333" s="918">
        <v>7.9600000000000005E-4</v>
      </c>
      <c r="H333" s="38"/>
      <c r="I333" s="774" t="str">
        <f>IF(Contents!$B$2=2,"PBCS 89","СОКБ 89")</f>
        <v>PBCS 89</v>
      </c>
      <c r="K333" s="56">
        <v>2</v>
      </c>
      <c r="M333" s="589"/>
      <c r="N333" s="589"/>
    </row>
    <row r="334" spans="2:15">
      <c r="B334" s="52"/>
      <c r="C334" s="53"/>
      <c r="D334" s="91"/>
      <c r="E334" s="91"/>
      <c r="F334" s="91"/>
      <c r="G334" s="91"/>
      <c r="H334" s="38"/>
      <c r="I334" s="39"/>
      <c r="K334" s="558"/>
      <c r="M334" s="589"/>
      <c r="N334" s="589"/>
    </row>
    <row r="335" spans="2:15">
      <c r="B335" s="25" t="str">
        <f>IF(Contents!$B$2=2,"Notes:","Примечания:")</f>
        <v>Notes:</v>
      </c>
      <c r="C335" s="61"/>
      <c r="D335" s="108"/>
      <c r="E335" s="108"/>
      <c r="F335" s="108"/>
      <c r="G335" s="108"/>
      <c r="H335" s="38"/>
      <c r="I335" s="39"/>
      <c r="K335" s="558"/>
      <c r="M335" s="589"/>
      <c r="N335" s="589"/>
    </row>
    <row r="336" spans="2:15">
      <c r="B336" s="26" t="str">
        <f>IF(Contents!$B$2=2,C337, B337)</f>
        <v>The calculations include Expenses on the preparation of a new track and holding a ski marathon in the village of Toksovo.</v>
      </c>
      <c r="C336" s="61"/>
      <c r="D336" s="108"/>
      <c r="E336" s="108"/>
      <c r="F336" s="108"/>
      <c r="G336" s="108"/>
      <c r="H336" s="38"/>
      <c r="I336" s="39"/>
      <c r="K336" s="558"/>
      <c r="M336" s="589"/>
      <c r="N336" s="589"/>
    </row>
    <row r="337" spans="2:26">
      <c r="B337" s="113" t="s">
        <v>235</v>
      </c>
      <c r="C337" s="775" t="s">
        <v>236</v>
      </c>
      <c r="D337" s="108"/>
      <c r="E337" s="108"/>
      <c r="F337" s="109"/>
      <c r="G337" s="109"/>
      <c r="H337" s="38"/>
      <c r="I337" s="39"/>
      <c r="K337" s="558"/>
      <c r="M337" s="589"/>
      <c r="N337" s="589"/>
    </row>
    <row r="338" spans="2:26">
      <c r="B338" s="45" t="str">
        <f>IF(Contents!$B$2=2,"Technological leadership","Технологическое лидерство")</f>
        <v>Technological leadership</v>
      </c>
      <c r="C338" s="45"/>
      <c r="D338" s="719"/>
      <c r="E338" s="719"/>
      <c r="F338" s="719"/>
      <c r="G338" s="719"/>
      <c r="H338" s="38"/>
      <c r="I338" s="39"/>
      <c r="K338" s="558"/>
      <c r="M338" s="589"/>
      <c r="N338" s="589"/>
    </row>
    <row r="339" spans="2:26" ht="54">
      <c r="B339" s="52" t="str">
        <f>IF(Contents!$B$2=2,Q339,P339)</f>
        <v>Ratio of the organisation’s investments in projects related to the achievement of technological sovereignty and structural adaptation of the Russian economy to revenue</v>
      </c>
      <c r="C339" s="53" t="s">
        <v>0</v>
      </c>
      <c r="D339" s="102" t="s">
        <v>185</v>
      </c>
      <c r="E339" s="808">
        <v>1.029E-3</v>
      </c>
      <c r="F339" s="808">
        <v>2.4800000000000001E-4</v>
      </c>
      <c r="G339" s="916">
        <v>1.94E-4</v>
      </c>
      <c r="H339" s="29"/>
      <c r="I339" s="56" t="str">
        <f>IF(Contents!$B$2=2,"PBCS 90","СОКБ 90")</f>
        <v>PBCS 90</v>
      </c>
      <c r="K339" s="558">
        <v>2</v>
      </c>
      <c r="M339" s="22"/>
      <c r="P339" s="117" t="s">
        <v>220</v>
      </c>
      <c r="Q339" s="117" t="s">
        <v>221</v>
      </c>
      <c r="R339" s="117"/>
    </row>
    <row r="340" spans="2:26">
      <c r="B340" s="52" t="str">
        <f>IF(Contents!$B$2=2,"Expenses on the research and development activities","Общие расходы на научные исследования и (или) опытно-конструкторские разработки")</f>
        <v>Expenses on the research and development activities</v>
      </c>
      <c r="C340" s="53" t="str">
        <f>IF(Contents!$B$2=2,"RR th.","тыс. руб.")</f>
        <v>RR th.</v>
      </c>
      <c r="D340" s="102">
        <v>585292</v>
      </c>
      <c r="E340" s="102">
        <v>808775</v>
      </c>
      <c r="F340" s="102">
        <v>805248</v>
      </c>
      <c r="G340" s="907">
        <v>835078</v>
      </c>
      <c r="H340" s="38"/>
      <c r="I340" s="56" t="str">
        <f>IF(Contents!$B$2=2,"PBCS 91","СОКБ 91")</f>
        <v>PBCS 91</v>
      </c>
      <c r="K340" s="56">
        <v>2</v>
      </c>
      <c r="M340" s="595"/>
      <c r="N340" s="595"/>
      <c r="O340" s="22"/>
    </row>
    <row r="341" spans="2:26">
      <c r="B341" s="52" t="str">
        <f>IF(Contents!$B$2=2,"Ratio of research and/or development expenses to revenue","Отношение расходов организации на научные исследования и (или) опытно-конструкторские разработки к выручке")</f>
        <v>Ratio of research and/or development expenses to revenue</v>
      </c>
      <c r="C341" s="53" t="s">
        <v>0</v>
      </c>
      <c r="D341" s="809" t="s">
        <v>185</v>
      </c>
      <c r="E341" s="809" t="s">
        <v>185</v>
      </c>
      <c r="F341" s="811">
        <v>5.2090999999999998E-2</v>
      </c>
      <c r="G341" s="917">
        <v>5.7766999999999999E-2</v>
      </c>
      <c r="H341" s="38"/>
      <c r="I341" s="56" t="str">
        <f>IF(Contents!$B$2=2,"PBCS 91","СОКБ 91")</f>
        <v>PBCS 91</v>
      </c>
      <c r="K341" s="558">
        <v>2</v>
      </c>
      <c r="M341" s="589"/>
      <c r="N341" s="589"/>
    </row>
    <row r="342" spans="2:26">
      <c r="B342" s="113"/>
      <c r="C342" s="775"/>
      <c r="D342" s="108"/>
      <c r="E342" s="108"/>
      <c r="F342" s="108"/>
      <c r="G342" s="108"/>
      <c r="H342" s="38"/>
      <c r="I342" s="39"/>
      <c r="K342" s="558"/>
      <c r="M342" s="589"/>
      <c r="N342" s="589"/>
    </row>
    <row r="343" spans="2:26">
      <c r="B343" s="25" t="str">
        <f>IF(Contents!$B$2=2,"Notes:","Примечания:")</f>
        <v>Notes:</v>
      </c>
      <c r="C343" s="53"/>
      <c r="D343" s="102"/>
      <c r="E343" s="102"/>
      <c r="F343" s="102"/>
      <c r="G343" s="102"/>
      <c r="H343" s="29"/>
      <c r="I343" s="56"/>
      <c r="K343" s="558"/>
      <c r="M343" s="22"/>
    </row>
    <row r="344" spans="2:26" s="43" customFormat="1">
      <c r="B344" s="26" t="str">
        <f>IF(Contents!$B$2=2, Y344, Z344)</f>
        <v>In the 2025 Report, the expenses on the research and development activities indicator for 2023 and 2024 has been recalculated proportionally to the Group's ownership stake in joint ventures. For more details, see Appendix 4, GRI 2-4.</v>
      </c>
      <c r="C344" s="252"/>
      <c r="D344" s="579"/>
      <c r="E344" s="579"/>
      <c r="F344" s="579"/>
      <c r="G344" s="579"/>
      <c r="H344" s="579"/>
      <c r="I344" s="802"/>
      <c r="J344" s="579"/>
      <c r="K344" s="579"/>
      <c r="L344" s="579"/>
      <c r="M344" s="579"/>
      <c r="N344" s="579"/>
      <c r="P344" s="804"/>
      <c r="Q344" s="805"/>
      <c r="R344" s="805"/>
      <c r="S344" s="805"/>
      <c r="T344" s="805"/>
      <c r="U344" s="805"/>
      <c r="V344" s="805"/>
      <c r="W344" s="805"/>
      <c r="X344" s="606"/>
      <c r="Y344" s="226" t="s">
        <v>247</v>
      </c>
      <c r="Z344" s="226" t="s">
        <v>248</v>
      </c>
    </row>
    <row r="345" spans="2:26" s="43" customFormat="1">
      <c r="B345" s="26"/>
      <c r="C345" s="252"/>
      <c r="D345" s="579"/>
      <c r="E345" s="579"/>
      <c r="F345" s="579"/>
      <c r="G345" s="579"/>
      <c r="H345" s="579"/>
      <c r="I345" s="802"/>
      <c r="J345" s="579"/>
      <c r="K345" s="579"/>
      <c r="L345" s="579"/>
      <c r="M345" s="579"/>
      <c r="N345" s="579"/>
      <c r="P345" s="804"/>
      <c r="Q345" s="805"/>
      <c r="R345" s="805"/>
      <c r="S345" s="805"/>
      <c r="T345" s="805"/>
      <c r="U345" s="805"/>
      <c r="V345" s="805"/>
      <c r="W345" s="805"/>
      <c r="X345" s="606"/>
      <c r="Y345" s="226"/>
      <c r="Z345" s="226"/>
    </row>
    <row r="346" spans="2:26">
      <c r="B346" s="45" t="str">
        <f>IF(Contents!$B$2=2,"Digital transformation of state and municipal governance, economy and social sphere","Цифровая трансформация государственного и муниципального управления, экономики и социальной сферы")</f>
        <v>Digital transformation of state and municipal governance, economy and social sphere</v>
      </c>
      <c r="C346" s="45"/>
      <c r="D346" s="719"/>
      <c r="E346" s="719"/>
      <c r="F346" s="719"/>
      <c r="G346" s="719"/>
      <c r="H346" s="38"/>
      <c r="I346" s="39"/>
      <c r="K346" s="558"/>
      <c r="M346" s="589"/>
      <c r="N346" s="589"/>
    </row>
    <row r="347" spans="2:26" ht="54">
      <c r="B347" s="52" t="str">
        <f>IF(Contents!$B$2=2,"Expenses on projects for the development and implementation of Russian IT solutions, including solutions related to data storage and processing, aimed at import substitution, including those implemented by start-ups","Расходы на проекты по разработке и внедрению российских решений в сфере информационных технологий, включая решения, связанные с хранением и обработкой данных, направленных на импортозамещение, в том числе реализуемые стартапами")</f>
        <v>Expenses on projects for the development and implementation of Russian IT solutions, including solutions related to data storage and processing, aimed at import substitution, including those implemented by start-ups</v>
      </c>
      <c r="C347" s="53" t="str">
        <f>IF(Contents!$B$2=2,"RR th.","тыс. руб.")</f>
        <v>RR th.</v>
      </c>
      <c r="D347" s="809" t="s">
        <v>185</v>
      </c>
      <c r="E347" s="809" t="s">
        <v>185</v>
      </c>
      <c r="F347" s="96">
        <v>1400000</v>
      </c>
      <c r="G347" s="915" t="s">
        <v>185</v>
      </c>
      <c r="H347" s="38"/>
      <c r="I347" s="774" t="str">
        <f>IF(Contents!$B$2=2,"PBCS 92","СОКБ 92")</f>
        <v>PBCS 92</v>
      </c>
      <c r="K347" s="558">
        <v>1</v>
      </c>
      <c r="M347" s="589"/>
      <c r="N347" s="589"/>
    </row>
    <row r="348" spans="2:26" ht="36">
      <c r="B348" s="52" t="str">
        <f>IF(Contents!$B$2=2,"Ratio of Expenses on projects for the development and implementation of Russian IT solutions, aimed at import substitution, to revenue","Отношение расходов организации на проекты по разработке и внедрению российских решений в сфере информационных технологий, направленных на импортозамещение, в том числе реализуемые стартапами, к выручке")</f>
        <v>Ratio of Expenses on projects for the development and implementation of Russian IT solutions, aimed at import substitution, to revenue</v>
      </c>
      <c r="C348" s="53" t="s">
        <v>0</v>
      </c>
      <c r="D348" s="809" t="s">
        <v>185</v>
      </c>
      <c r="E348" s="809" t="s">
        <v>185</v>
      </c>
      <c r="F348" s="811">
        <f>ROUND((F347/F355)*100, 6)</f>
        <v>9.0565000000000007E-2</v>
      </c>
      <c r="G348" s="915" t="s">
        <v>185</v>
      </c>
      <c r="H348" s="38"/>
      <c r="I348" s="774" t="str">
        <f>IF(Contents!$B$2=2,"PBCS 93","СОКБ 93")</f>
        <v>PBCS 93</v>
      </c>
      <c r="K348" s="558">
        <v>1</v>
      </c>
      <c r="M348" s="589"/>
      <c r="N348" s="589"/>
    </row>
    <row r="349" spans="2:26">
      <c r="B349" s="52" t="str">
        <f>IF(Contents!$B$2=2,"Information security expenses of the organisation","Расходы организации на обеспечение информационной безопасности")</f>
        <v>Information security expenses of the organisation</v>
      </c>
      <c r="C349" s="53" t="str">
        <f>IF(Contents!$B$2=2,"RR th.","тыс. руб.")</f>
        <v>RR th.</v>
      </c>
      <c r="D349" s="809" t="s">
        <v>185</v>
      </c>
      <c r="E349" s="809" t="s">
        <v>185</v>
      </c>
      <c r="F349" s="96">
        <v>1400000</v>
      </c>
      <c r="G349" s="915" t="s">
        <v>185</v>
      </c>
      <c r="H349" s="38"/>
      <c r="I349" s="774" t="str">
        <f>IF(Contents!$B$2=2,"PBCS 94","СОКБ 94")</f>
        <v>PBCS 94</v>
      </c>
      <c r="K349" s="558">
        <v>1</v>
      </c>
      <c r="M349" s="589"/>
      <c r="N349" s="589"/>
    </row>
    <row r="350" spans="2:26">
      <c r="B350" s="52" t="str">
        <f>IF(Contents!$B$2=2,"Ratio of the organisation’s information security expenses to revenue","Отношение расходов организации на обеспечение информационной безопасности к выручке")</f>
        <v>Ratio of the organisation’s information security expenses to revenue</v>
      </c>
      <c r="C350" s="53" t="s">
        <v>0</v>
      </c>
      <c r="D350" s="809" t="s">
        <v>185</v>
      </c>
      <c r="E350" s="809" t="s">
        <v>185</v>
      </c>
      <c r="F350" s="811">
        <f>ROUND((F349/F355)*100, 6)</f>
        <v>9.0565000000000007E-2</v>
      </c>
      <c r="G350" s="915" t="s">
        <v>185</v>
      </c>
      <c r="H350" s="38"/>
      <c r="I350" s="774" t="str">
        <f>IF(Contents!$B$2=2,"PBCS 94","СОКБ 94")</f>
        <v>PBCS 94</v>
      </c>
      <c r="K350" s="558">
        <v>1</v>
      </c>
      <c r="M350" s="589"/>
      <c r="N350" s="589"/>
    </row>
    <row r="351" spans="2:26">
      <c r="B351" s="52" t="str">
        <f>IF(Contents!$B$2=2,"Ratio of the organisation’s digital security expenses to the revenue","Отношение расходов организации на обеспечение цифровой безопасности к выручке")</f>
        <v>Ratio of the organisation’s digital security expenses to the revenue</v>
      </c>
      <c r="C351" s="53" t="s">
        <v>0</v>
      </c>
      <c r="D351" s="809" t="s">
        <v>185</v>
      </c>
      <c r="E351" s="809" t="s">
        <v>185</v>
      </c>
      <c r="F351" s="809">
        <v>0.09</v>
      </c>
      <c r="G351" s="915" t="s">
        <v>185</v>
      </c>
      <c r="H351" s="38"/>
      <c r="I351" s="774" t="str">
        <f>IF(Contents!$B$2=2,"PBCS 95","СОКБ 95")</f>
        <v>PBCS 95</v>
      </c>
      <c r="K351" s="558">
        <v>1</v>
      </c>
      <c r="M351" s="589"/>
      <c r="N351" s="589"/>
    </row>
    <row r="352" spans="2:26">
      <c r="B352" s="52"/>
      <c r="C352" s="53"/>
      <c r="D352" s="91"/>
      <c r="E352" s="91"/>
      <c r="F352" s="91"/>
      <c r="G352" s="91"/>
      <c r="H352" s="38"/>
      <c r="I352" s="39"/>
      <c r="K352" s="558"/>
      <c r="M352" s="589"/>
      <c r="N352" s="589"/>
    </row>
    <row r="353" spans="2:15">
      <c r="B353" s="52"/>
      <c r="C353" s="53"/>
      <c r="D353" s="91"/>
      <c r="E353" s="91"/>
      <c r="F353" s="91"/>
      <c r="G353" s="91"/>
      <c r="H353" s="38"/>
      <c r="I353" s="39"/>
      <c r="K353" s="558"/>
      <c r="M353" s="589"/>
      <c r="N353" s="589"/>
    </row>
    <row r="354" spans="2:15">
      <c r="B354" s="25" t="str">
        <f>IF(Contents!$B$2=2,"Notes:","Примечания:")</f>
        <v>Notes:</v>
      </c>
      <c r="C354" s="61"/>
      <c r="D354" s="108"/>
      <c r="E354" s="108"/>
      <c r="F354" s="108"/>
      <c r="G354" s="108"/>
      <c r="H354" s="38"/>
      <c r="I354" s="39"/>
      <c r="K354" s="558"/>
      <c r="M354" s="589"/>
      <c r="N354" s="589"/>
    </row>
    <row r="355" spans="2:15">
      <c r="B355" s="65" t="str">
        <f>IF(Contents!$B$2=2,"Revenue","Выручка")</f>
        <v>Revenue</v>
      </c>
      <c r="C355" s="53" t="str">
        <f>IF(Contents!$B$2=2,"RR th.","тыс. руб.")</f>
        <v>RR th.</v>
      </c>
      <c r="D355" s="110" t="s">
        <v>185</v>
      </c>
      <c r="E355" s="110">
        <v>1371508000</v>
      </c>
      <c r="F355" s="110">
        <v>1545851000</v>
      </c>
      <c r="G355" s="110">
        <v>1445593000</v>
      </c>
      <c r="H355" s="38"/>
      <c r="I355" s="39"/>
      <c r="K355" s="558"/>
      <c r="M355" s="595"/>
      <c r="N355" s="595"/>
      <c r="O355" s="22"/>
    </row>
    <row r="356" spans="2:15">
      <c r="B356" s="30"/>
      <c r="C356" s="31"/>
      <c r="D356" s="748"/>
      <c r="E356" s="748"/>
      <c r="F356" s="748"/>
      <c r="G356" s="748"/>
      <c r="H356" s="32"/>
      <c r="I356" s="592"/>
      <c r="J356" s="592"/>
      <c r="K356" s="592"/>
      <c r="L356" s="592"/>
      <c r="M356" s="592"/>
      <c r="N356" s="592"/>
      <c r="O356" s="32"/>
    </row>
    <row r="357" spans="2:15">
      <c r="B357" s="33"/>
      <c r="M357" s="589"/>
      <c r="N357" s="589"/>
    </row>
    <row r="358" spans="2:15">
      <c r="B358" s="141" t="str">
        <f>IF(Contents!$B$2=2,"For more information, see the Sustainable Development Reports for 2020-2025.","Для получения дополнительной информации см. Отчеты об устойчивом развитии за 2020-2025 гг.")</f>
        <v>For more information, see the Sustainable Development Reports for 2020-2025.</v>
      </c>
      <c r="M358" s="589"/>
      <c r="N358" s="589"/>
    </row>
    <row r="360" spans="2:15">
      <c r="B360" s="447" t="str">
        <f>IF(Contents!$B$2=2,"In the process of preparing non-financial reports, NOVATEK adheres to the Standard of Public Business Capital, which was approved by Government Decree No. 2230 of December 30, 2025.","При подготовке нефинансовой отчетности «НОВАТЭК» учитывает Стандарт общественного капитала бизнеса (СОКБ), утвержденный постановлением Правительства РФ от 30.12.2025 № 2230")</f>
        <v>In the process of preparing non-financial reports, NOVATEK adheres to the Standard of Public Business Capital, which was approved by Government Decree No. 2230 of December 30, 2025.</v>
      </c>
    </row>
  </sheetData>
  <autoFilter ref="I7"/>
  <mergeCells count="1">
    <mergeCell ref="F3:G4"/>
  </mergeCells>
  <hyperlinks>
    <hyperlink ref="B3" location="СОКБ!B8" display="СОКБ!B8"/>
    <hyperlink ref="B4" location="СОКБ!B105" display="СОКБ!B105"/>
    <hyperlink ref="C3" location="СОКБ!B177" display="СОКБ!B177"/>
    <hyperlink ref="C4" location="СОКБ!B202" display="СОКБ!B202"/>
    <hyperlink ref="B1" location="Contents!A1" display="← Back to Contents"/>
    <hyperlink ref="B358" r:id="rId1" display="https://www.novatek.ru/en/development/archive/"/>
    <hyperlink ref="F3:G4" location="СОКБ!B226" display="СОКБ!B22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IG128"/>
  <sheetViews>
    <sheetView zoomScale="60" zoomScaleNormal="60" workbookViewId="0">
      <pane xSplit="1" ySplit="7" topLeftCell="B8" activePane="bottomRight" state="frozen"/>
      <selection pane="topRight" activeCell="B1" sqref="B1"/>
      <selection pane="bottomLeft" activeCell="A8" sqref="A8"/>
      <selection pane="bottomRight" activeCell="P10" sqref="P10"/>
    </sheetView>
  </sheetViews>
  <sheetFormatPr defaultColWidth="13.140625" defaultRowHeight="18.75"/>
  <cols>
    <col min="1" max="1" width="13.140625" style="14"/>
    <col min="2" max="2" width="107.85546875" style="14" customWidth="1"/>
    <col min="3" max="3" width="20.42578125" style="15" customWidth="1"/>
    <col min="4" max="7" width="20.42578125" style="37" customWidth="1"/>
    <col min="8" max="8" width="13.140625" style="16" customWidth="1"/>
    <col min="9" max="9" width="20.42578125" style="589" customWidth="1"/>
    <col min="10" max="10" width="5.42578125" style="589" customWidth="1"/>
    <col min="11" max="11" width="15.42578125" style="589" customWidth="1"/>
    <col min="12" max="12" width="5.42578125" style="589" customWidth="1"/>
    <col min="13" max="238" width="9.140625" style="14" customWidth="1"/>
    <col min="239" max="239" width="13.42578125" style="14" customWidth="1"/>
    <col min="240" max="240" width="91" style="14" customWidth="1"/>
    <col min="241" max="16384" width="13.140625" style="14"/>
  </cols>
  <sheetData>
    <row r="1" spans="2:241" ht="89.1" customHeight="1">
      <c r="B1" s="487" t="s">
        <v>168</v>
      </c>
    </row>
    <row r="2" spans="2:241">
      <c r="B2" s="18" t="str">
        <f>IF(Contents!$B$2=2,"CONTENTS","СОДЕРЖАНИЕ")</f>
        <v>CONTENTS</v>
      </c>
      <c r="C2" s="44"/>
      <c r="D2" s="773"/>
      <c r="E2" s="719"/>
      <c r="F2" s="719"/>
      <c r="G2" s="719"/>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row>
    <row r="3" spans="2:241" ht="36" customHeight="1">
      <c r="B3" s="575" t="str">
        <f>IF(Contents!$B$2=2,"Environmental indicators","Экологические показатели")</f>
        <v>Environmental indicators</v>
      </c>
      <c r="C3" s="575" t="str">
        <f>IF(Contents!$B$2=2,"Management indicators","Управленческие показатели")</f>
        <v>Management indicators</v>
      </c>
      <c r="D3" s="575"/>
      <c r="E3" s="772"/>
      <c r="F3" s="821"/>
      <c r="G3" s="821"/>
      <c r="H3" s="507"/>
    </row>
    <row r="4" spans="2:241" ht="39.6" customHeight="1">
      <c r="B4" s="575" t="str">
        <f>IF(Contents!$B$2=2,"Social indicators","Социальные показатели")</f>
        <v>Social indicators</v>
      </c>
      <c r="C4" s="575"/>
      <c r="D4" s="575"/>
      <c r="E4" s="584"/>
      <c r="F4" s="821"/>
      <c r="G4" s="821"/>
      <c r="H4" s="507"/>
      <c r="I4" s="39"/>
      <c r="K4" s="39"/>
    </row>
    <row r="5" spans="2:241">
      <c r="B5" s="584"/>
      <c r="C5" s="584"/>
      <c r="D5" s="584"/>
      <c r="E5" s="584"/>
      <c r="F5" s="584"/>
      <c r="G5" s="584"/>
      <c r="H5" s="507"/>
      <c r="I5" s="39"/>
      <c r="K5" s="39"/>
    </row>
    <row r="6" spans="2:241" ht="20.25">
      <c r="B6" s="674" t="str">
        <f>IF(Contents!$B$2=2,"List of indicators of the XBRL Taxonomy of the Bank of Russia (version 7.5.1.0) (for issuers)","Перечень показателей Таксономии XBRL Банка России (версия 7.5.1.0) (для эмитентов)")</f>
        <v>List of indicators of the XBRL Taxonomy of the Bank of Russia (version 7.5.1.0) (for issuers)</v>
      </c>
      <c r="C6" s="771"/>
      <c r="D6" s="770"/>
      <c r="E6" s="770"/>
      <c r="F6" s="770"/>
      <c r="G6" s="770"/>
      <c r="H6" s="35"/>
      <c r="I6" s="769"/>
      <c r="K6" s="769"/>
    </row>
    <row r="7" spans="2:241" ht="30.75" customHeight="1">
      <c r="B7" s="47"/>
      <c r="C7" s="19"/>
      <c r="D7" s="21">
        <v>2022</v>
      </c>
      <c r="E7" s="20">
        <v>2023</v>
      </c>
      <c r="F7" s="20">
        <v>2024</v>
      </c>
      <c r="G7" s="20">
        <v>2025</v>
      </c>
      <c r="H7" s="36"/>
      <c r="I7" s="602" t="str">
        <f>IF(Contents!$B$2=2,"Indices of indicators","Индексы показателей")</f>
        <v>Indices of indicators</v>
      </c>
      <c r="J7" s="504"/>
      <c r="K7" s="586" t="str">
        <f>IF(Contents!$B$2=2,"Report scope","Границы отчетности")</f>
        <v>Report scope</v>
      </c>
      <c r="L7" s="504"/>
    </row>
    <row r="8" spans="2:241">
      <c r="B8" s="45" t="str">
        <f>IF(Contents!$B$2=2,"Environmental indicators","Экологические показатели")</f>
        <v>Environmental indicators</v>
      </c>
      <c r="C8" s="45"/>
      <c r="D8" s="719"/>
      <c r="E8" s="719"/>
      <c r="F8" s="719"/>
      <c r="G8" s="719"/>
      <c r="H8" s="40"/>
      <c r="I8" s="39"/>
      <c r="K8" s="558"/>
    </row>
    <row r="9" spans="2:241">
      <c r="B9" s="48" t="str">
        <f>IF(Contents!$B$2=2,"Greenhouse gas emissions","Выбросы парниковых газов")</f>
        <v>Greenhouse gas emissions</v>
      </c>
      <c r="C9" s="49" t="str">
        <f>IF(Contents!$B$2=2,"th. tons of CO₂ eq.","тыс. т CO₂-экв.")</f>
        <v>th. tons of CO₂ eq.</v>
      </c>
      <c r="D9" s="762">
        <v>9589.8000000000011</v>
      </c>
      <c r="E9" s="762">
        <v>9655.6999999999989</v>
      </c>
      <c r="F9" s="762">
        <v>9750</v>
      </c>
      <c r="G9" s="762">
        <v>9822.35</v>
      </c>
      <c r="H9" s="394"/>
      <c r="I9" s="56" t="str">
        <f>IF(Contents!$B$2=2,"BR 1","БР 1")</f>
        <v>BR 1</v>
      </c>
      <c r="K9" s="277">
        <v>2</v>
      </c>
      <c r="M9" s="22"/>
    </row>
    <row r="10" spans="2:241">
      <c r="B10" s="23" t="str">
        <f>IF(Contents!$B$2=2,"by Scopes","по охватам")</f>
        <v>by Scopes</v>
      </c>
      <c r="C10" s="77"/>
      <c r="D10" s="77"/>
      <c r="E10" s="77"/>
      <c r="F10" s="77"/>
      <c r="G10" s="77"/>
      <c r="H10" s="29"/>
      <c r="I10" s="39"/>
      <c r="K10" s="558"/>
      <c r="M10" s="22"/>
    </row>
    <row r="11" spans="2:241">
      <c r="B11" s="78" t="str">
        <f>IF(Contents!$B$2=2,"Scope 1","Область охвата 1")</f>
        <v>Scope 1</v>
      </c>
      <c r="C11" s="53" t="str">
        <f>IF(Contents!$B$2=2,"th. tons of CO₂ eq.","тыс. т CO₂-экв.")</f>
        <v>th. tons of CO₂ eq.</v>
      </c>
      <c r="D11" s="282">
        <v>9423.2000000000007</v>
      </c>
      <c r="E11" s="282">
        <v>9482.2999999999993</v>
      </c>
      <c r="F11" s="282">
        <v>9571.9</v>
      </c>
      <c r="G11" s="893">
        <v>9626.4500000000007</v>
      </c>
      <c r="H11" s="29"/>
      <c r="I11" s="56" t="str">
        <f>IF(Contents!$B$2=2,"BR 1.1","БР 1.1")</f>
        <v>BR 1.1</v>
      </c>
      <c r="K11" s="277">
        <v>2</v>
      </c>
      <c r="M11" s="22"/>
    </row>
    <row r="12" spans="2:241">
      <c r="B12" s="78" t="str">
        <f>IF(Contents!$B$2=2,"Scope 2","Область охвата 2")</f>
        <v>Scope 2</v>
      </c>
      <c r="C12" s="53" t="str">
        <f>IF(Contents!$B$2=2,"th. tons of CO₂ eq.","тыс. т CO₂-экв.")</f>
        <v>th. tons of CO₂ eq.</v>
      </c>
      <c r="D12" s="67">
        <v>166.6</v>
      </c>
      <c r="E12" s="67">
        <v>173.4</v>
      </c>
      <c r="F12" s="67">
        <v>178.1</v>
      </c>
      <c r="G12" s="894">
        <v>195.9</v>
      </c>
      <c r="H12" s="29"/>
      <c r="I12" s="56" t="str">
        <f>IF(Contents!$B$2=2,"BR 1.2","БР 1.2")</f>
        <v>BR 1.2</v>
      </c>
      <c r="K12" s="277">
        <v>2</v>
      </c>
      <c r="M12" s="22"/>
    </row>
    <row r="13" spans="2:241">
      <c r="B13" s="78"/>
      <c r="C13" s="53"/>
      <c r="D13" s="80"/>
      <c r="E13" s="80"/>
      <c r="F13" s="80"/>
      <c r="G13" s="80"/>
      <c r="H13" s="29"/>
      <c r="I13" s="39"/>
      <c r="K13" s="558"/>
      <c r="M13" s="22"/>
    </row>
    <row r="14" spans="2:241">
      <c r="B14" s="25" t="str">
        <f>IF(Contents!$B$2=2,"Notes:","Примечания:")</f>
        <v>Notes:</v>
      </c>
      <c r="C14" s="53"/>
      <c r="D14" s="80"/>
      <c r="E14" s="80"/>
      <c r="F14" s="80"/>
      <c r="G14" s="80"/>
      <c r="H14" s="29"/>
      <c r="I14" s="39"/>
      <c r="K14" s="558"/>
      <c r="M14" s="22"/>
    </row>
    <row r="15" spans="2:241">
      <c r="B15" s="26" t="str">
        <f>IF(Contents!$B$2=2, C16, B16)</f>
        <v>Indirect greenhouse gas emissions related to energy (Scope 2) are calculated using a location-based method. This method reflects the average emissions intensity in the grids of the region from which the electricity is consumed.
The calculation was made in accordance with the ‘Concept of calculation and publication of greenhouse gas emission factors of the Russian energy system’ methodology. This methodology was developed in 2022 by NP Market Council Association and ATS and received an international validation opinion.</v>
      </c>
      <c r="C15" s="53"/>
      <c r="D15" s="83"/>
      <c r="E15" s="83"/>
      <c r="F15" s="83"/>
      <c r="G15" s="83"/>
      <c r="H15" s="29"/>
      <c r="I15" s="39"/>
      <c r="K15" s="558"/>
      <c r="M15" s="22"/>
    </row>
    <row r="16" spans="2:241">
      <c r="B16" s="113" t="s">
        <v>8</v>
      </c>
      <c r="C16" s="227" t="s">
        <v>33</v>
      </c>
      <c r="D16" s="83"/>
      <c r="E16" s="83"/>
      <c r="F16" s="83"/>
      <c r="G16" s="83"/>
      <c r="H16" s="29"/>
      <c r="I16" s="39"/>
      <c r="K16" s="558"/>
      <c r="M16" s="817"/>
    </row>
    <row r="17" spans="2:13">
      <c r="B17" s="48" t="str">
        <f>IF(Contents!$B$2=2,"Energy and fuel consumption","Потребление энергии и топлива")</f>
        <v>Energy and fuel consumption</v>
      </c>
      <c r="C17" s="49"/>
      <c r="D17" s="50"/>
      <c r="E17" s="50"/>
      <c r="F17" s="51"/>
      <c r="G17" s="51"/>
      <c r="H17" s="29"/>
      <c r="I17" s="39"/>
      <c r="K17" s="558"/>
      <c r="M17" s="22"/>
    </row>
    <row r="18" spans="2:13">
      <c r="B18" s="52" t="str">
        <f>IF(Contents!$B$2=2,"Own energy consumption, excluding heat and electricity supply to external consumers","Собственное энергопотребление, без учета отпуска тепла и электроэнергии внешним потребителям")</f>
        <v>Own energy consumption, excluding heat and electricity supply to external consumers</v>
      </c>
      <c r="C18" s="53" t="str">
        <f>IF(Contents!$B$2=2,"GJ","ГДж")</f>
        <v>GJ</v>
      </c>
      <c r="D18" s="107">
        <v>16685781</v>
      </c>
      <c r="E18" s="107">
        <v>12256820</v>
      </c>
      <c r="F18" s="107">
        <v>13141118</v>
      </c>
      <c r="G18" s="793">
        <v>14151321</v>
      </c>
      <c r="H18" s="29"/>
      <c r="I18" s="56" t="str">
        <f>IF(Contents!$B$2=2,"BR 2","БР 2")</f>
        <v>BR 2</v>
      </c>
      <c r="K18" s="277">
        <v>2</v>
      </c>
      <c r="M18" s="22"/>
    </row>
    <row r="19" spans="2:13">
      <c r="B19" s="23" t="str">
        <f>IF(Contents!$B$2=2,"by type","по видам")</f>
        <v>by type</v>
      </c>
      <c r="C19" s="77" t="str">
        <f>IF(Contents!$B$2=2,"GJ","ГДж")</f>
        <v>GJ</v>
      </c>
      <c r="D19" s="758"/>
      <c r="E19" s="758"/>
      <c r="F19" s="758"/>
      <c r="G19" s="758"/>
      <c r="H19" s="29"/>
      <c r="I19" s="39"/>
      <c r="K19" s="558"/>
      <c r="M19" s="22"/>
    </row>
    <row r="20" spans="2:13">
      <c r="B20" s="78" t="str">
        <f>IF(Contents!$B$2=2,"Heat","Тепловой энергии")</f>
        <v>Heat</v>
      </c>
      <c r="C20" s="53" t="str">
        <f>IF(Contents!$B$2=2,"GJ","ГДж")</f>
        <v>GJ</v>
      </c>
      <c r="D20" s="107">
        <v>3557194</v>
      </c>
      <c r="E20" s="107">
        <v>3008000</v>
      </c>
      <c r="F20" s="107">
        <v>3240000</v>
      </c>
      <c r="G20" s="793">
        <v>3840000</v>
      </c>
      <c r="H20" s="29"/>
      <c r="I20" s="56" t="str">
        <f>IF(Contents!$B$2=2,"BR 2.1","БР 2.1")</f>
        <v>BR 2.1</v>
      </c>
      <c r="K20" s="277">
        <v>2</v>
      </c>
      <c r="M20" s="22"/>
    </row>
    <row r="21" spans="2:13">
      <c r="B21" s="78" t="str">
        <f>IF(Contents!$B$2=2,"Electricity","Электроэнергия")</f>
        <v>Electricity</v>
      </c>
      <c r="C21" s="53" t="str">
        <f>IF(Contents!$B$2=2,"GJ","ГДж")</f>
        <v>GJ</v>
      </c>
      <c r="D21" s="107">
        <v>13128587</v>
      </c>
      <c r="E21" s="107">
        <v>9248820</v>
      </c>
      <c r="F21" s="107">
        <v>9901118</v>
      </c>
      <c r="G21" s="793">
        <v>10311321</v>
      </c>
      <c r="H21" s="29"/>
      <c r="I21" s="56" t="str">
        <f>IF(Contents!$B$2=2,"BR 2.2","БР 2.2")</f>
        <v>BR 2.2</v>
      </c>
      <c r="K21" s="277">
        <v>2</v>
      </c>
      <c r="M21" s="22"/>
    </row>
    <row r="22" spans="2:13">
      <c r="B22" s="23" t="str">
        <f>IF(Contents!$B$2=2,"by type of fuel used","по видам использованного топлива")</f>
        <v>by type of fuel used</v>
      </c>
      <c r="C22" s="77" t="str">
        <f>IF(Contents!$B$2=2,"GJ","ГДж")</f>
        <v>GJ</v>
      </c>
      <c r="D22" s="92">
        <v>188222272</v>
      </c>
      <c r="E22" s="92">
        <v>141431858</v>
      </c>
      <c r="F22" s="92">
        <v>146968969</v>
      </c>
      <c r="G22" s="92">
        <v>159654730</v>
      </c>
      <c r="H22" s="29"/>
      <c r="I22" s="39"/>
      <c r="K22" s="558"/>
      <c r="M22" s="22"/>
    </row>
    <row r="23" spans="2:13">
      <c r="B23" s="757" t="str">
        <f>IF(Contents!$B$2=2,"Natural gas to produce heat and electricity","Природный газ для производства тепла и электроэнергии")</f>
        <v>Natural gas to produce heat and electricity</v>
      </c>
      <c r="C23" s="53" t="str">
        <f>IF(Contents!$B$2=2,"GJ","ГДж")</f>
        <v>GJ</v>
      </c>
      <c r="D23" s="107">
        <v>40517582</v>
      </c>
      <c r="E23" s="107">
        <v>26807053</v>
      </c>
      <c r="F23" s="107">
        <v>33071063</v>
      </c>
      <c r="G23" s="793">
        <v>32309451</v>
      </c>
      <c r="H23" s="29"/>
      <c r="I23" s="56" t="str">
        <f>IF(Contents!$B$2=2,"BR 2.3","БР 2.3")</f>
        <v>BR 2.3</v>
      </c>
      <c r="K23" s="277">
        <v>2</v>
      </c>
      <c r="M23" s="22"/>
    </row>
    <row r="24" spans="2:13">
      <c r="B24" s="757" t="str">
        <f>IF(Contents!$B$2=2,"Natural gas for the Company's own technological needs","Природный газ для собственных технологических нужд Компании")</f>
        <v>Natural gas for the Company's own technological needs</v>
      </c>
      <c r="C24" s="53" t="str">
        <f>IF(Contents!$B$2=2,"GJ","ГДж")</f>
        <v>GJ</v>
      </c>
      <c r="D24" s="107">
        <v>143178190</v>
      </c>
      <c r="E24" s="107">
        <v>107789355</v>
      </c>
      <c r="F24" s="107">
        <v>106735113</v>
      </c>
      <c r="G24" s="793">
        <v>119459552</v>
      </c>
      <c r="H24" s="29"/>
      <c r="I24" s="56" t="str">
        <f>IF(Contents!$B$2=2,"BR 2.3","БР 2.3")</f>
        <v>BR 2.3</v>
      </c>
      <c r="K24" s="277">
        <v>2</v>
      </c>
      <c r="M24" s="22"/>
    </row>
    <row r="25" spans="2:13">
      <c r="B25" s="757" t="str">
        <f>IF(Contents!$B$2=2,"Butane fraction","Бутановая фракция")</f>
        <v>Butane fraction</v>
      </c>
      <c r="C25" s="53" t="str">
        <f>IF(Contents!$B$2=2,"GJ","ГДж")</f>
        <v>GJ</v>
      </c>
      <c r="D25" s="107">
        <v>4526500</v>
      </c>
      <c r="E25" s="107">
        <v>6271804</v>
      </c>
      <c r="F25" s="107">
        <v>6568031</v>
      </c>
      <c r="G25" s="793">
        <v>7305427</v>
      </c>
      <c r="H25" s="29"/>
      <c r="I25" s="56" t="str">
        <f>IF(Contents!$B$2=2,"BR 2.3","БР 2.3")</f>
        <v>BR 2.3</v>
      </c>
      <c r="K25" s="277">
        <v>2</v>
      </c>
      <c r="M25" s="22"/>
    </row>
    <row r="26" spans="2:13">
      <c r="B26" s="757" t="str">
        <f>IF(Contents!$B$2=2,"Marine fuel component","Компонент судового топлива")</f>
        <v>Marine fuel component</v>
      </c>
      <c r="C26" s="53" t="str">
        <f>IF(Contents!$B$2=2,"GJ","ГДж")</f>
        <v>GJ</v>
      </c>
      <c r="D26" s="107" t="s">
        <v>185</v>
      </c>
      <c r="E26" s="107">
        <v>563646</v>
      </c>
      <c r="F26" s="107">
        <v>594762</v>
      </c>
      <c r="G26" s="793">
        <v>580300</v>
      </c>
      <c r="H26" s="29"/>
      <c r="I26" s="56" t="str">
        <f>IF(Contents!$B$2=2,"BR 2.3","БР 2.3")</f>
        <v>BR 2.3</v>
      </c>
      <c r="K26" s="277">
        <v>2</v>
      </c>
      <c r="M26" s="22"/>
    </row>
    <row r="27" spans="2:13">
      <c r="B27" s="52" t="str">
        <f>IF(Contents!$B$2=2,"Volume of renewable and low-carbon energy consumption","Объем потребления возобновляемой и низкоуглеродной энергии")</f>
        <v>Volume of renewable and low-carbon energy consumption</v>
      </c>
      <c r="C27" s="53" t="str">
        <f>IF(Contents!$B$2=2,"GJ","ГДж")</f>
        <v>GJ</v>
      </c>
      <c r="D27" s="107">
        <v>83661</v>
      </c>
      <c r="E27" s="107">
        <v>229275.8046</v>
      </c>
      <c r="F27" s="107">
        <v>544465.126590534</v>
      </c>
      <c r="G27" s="793">
        <v>1320.981804</v>
      </c>
      <c r="H27" s="29"/>
      <c r="I27" s="56" t="str">
        <f>IF(Contents!$B$2=2,"BR 3","БР 3")</f>
        <v>BR 3</v>
      </c>
      <c r="K27" s="277">
        <v>2</v>
      </c>
      <c r="M27" s="22"/>
    </row>
    <row r="28" spans="2:13">
      <c r="B28" s="246" t="str">
        <f>IF(Contents!$B$2=2,"Volume of renewable energy consumption","Объем потребления возобновляемой и низкоуглеродной энергии")</f>
        <v>Volume of renewable energy consumption</v>
      </c>
      <c r="C28" s="53" t="s">
        <v>0</v>
      </c>
      <c r="D28" s="799">
        <v>0.637243</v>
      </c>
      <c r="E28" s="799">
        <v>2.9958849999999999</v>
      </c>
      <c r="F28" s="799">
        <v>2.5962619999999998</v>
      </c>
      <c r="G28" s="901">
        <v>0.01</v>
      </c>
      <c r="H28" s="29"/>
      <c r="I28" s="56" t="str">
        <f>IF(Contents!$B$2=2,"BR 4","БР 4")</f>
        <v>BR 4</v>
      </c>
      <c r="K28" s="277">
        <v>2</v>
      </c>
      <c r="M28" s="22"/>
    </row>
    <row r="29" spans="2:13" ht="17.45" customHeight="1">
      <c r="B29" s="52"/>
      <c r="C29" s="53"/>
      <c r="D29" s="107"/>
      <c r="E29" s="107"/>
      <c r="F29" s="107"/>
      <c r="G29" s="107"/>
      <c r="H29" s="29"/>
      <c r="I29" s="56"/>
      <c r="K29" s="277"/>
      <c r="M29" s="22"/>
    </row>
    <row r="30" spans="2:13">
      <c r="B30" s="25" t="str">
        <f>IF(Contents!$B$2=2,"Notes:","Примечания:")</f>
        <v>Notes:</v>
      </c>
      <c r="C30" s="53"/>
      <c r="D30" s="86"/>
      <c r="E30" s="86"/>
      <c r="F30" s="86"/>
      <c r="G30" s="86"/>
      <c r="H30" s="29"/>
      <c r="I30" s="39"/>
      <c r="K30" s="558"/>
      <c r="M30" s="22"/>
    </row>
    <row r="31" spans="2:13">
      <c r="B31" s="26" t="str">
        <f>IF(Contents!$B$2=2, C32, B32)</f>
        <v>Energy consumption is calculated as the sum of purchased energy and supporting generation less sales and dispatch. The following coefficients were used to recalculate the data: 1 thousand kWh = 3.6 GJ, 1 Gcal = 4.187 GJ. When recalculating data on fuel consumption, the following coefficient was used: 1 toe = 29.31 GJ; 1 toe = 1 cubic metre * 1.154.</v>
      </c>
      <c r="C31" s="1"/>
      <c r="D31" s="82"/>
      <c r="E31" s="82"/>
      <c r="F31" s="82"/>
      <c r="G31" s="82"/>
      <c r="H31" s="29"/>
      <c r="I31" s="39"/>
      <c r="K31" s="558"/>
      <c r="M31" s="22"/>
    </row>
    <row r="32" spans="2:13">
      <c r="B32" s="113" t="s">
        <v>9</v>
      </c>
      <c r="C32" s="113" t="s">
        <v>34</v>
      </c>
      <c r="D32" s="82"/>
      <c r="E32" s="82"/>
      <c r="F32" s="82"/>
      <c r="G32" s="82"/>
      <c r="H32" s="29"/>
      <c r="I32" s="39"/>
      <c r="K32" s="558"/>
      <c r="M32" s="22"/>
    </row>
    <row r="33" spans="2:241" ht="18">
      <c r="B33" s="75" t="str">
        <f>IF(Contents!$B$2=2,"Emissions of pollutants","Выбросы загрязняющих веществ")</f>
        <v>Emissions of pollutants</v>
      </c>
      <c r="C33" s="42"/>
      <c r="D33" s="763"/>
      <c r="E33" s="763"/>
      <c r="F33" s="763"/>
      <c r="G33" s="763"/>
      <c r="H33" s="64"/>
      <c r="I33" s="56"/>
      <c r="J33" s="56"/>
      <c r="K33" s="277"/>
      <c r="L33" s="277"/>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row>
    <row r="34" spans="2:241" ht="35.1" customHeight="1">
      <c r="B34" s="52" t="str">
        <f>IF(Contents!$B$2=2,"Air pollutant emissions from stationary sources","Масса выбросов загрязняющих веществ в атмосферный воздух от стационарных источников")</f>
        <v>Air pollutant emissions from stationary sources</v>
      </c>
      <c r="C34" s="12" t="str">
        <f>IF(Contents!$B$2=2,"th. tons","тыс. т")</f>
        <v>th. tons</v>
      </c>
      <c r="D34" s="67">
        <v>70.8</v>
      </c>
      <c r="E34" s="67">
        <v>65.8</v>
      </c>
      <c r="F34" s="67">
        <v>56</v>
      </c>
      <c r="G34" s="894">
        <v>80.327621187118595</v>
      </c>
      <c r="H34" s="55"/>
      <c r="I34" s="56" t="str">
        <f>IF(Contents!$B$2=2,"BR 6","БР 6")</f>
        <v>BR 6</v>
      </c>
      <c r="J34" s="55"/>
      <c r="K34" s="277">
        <v>2</v>
      </c>
      <c r="L34" s="277"/>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row>
    <row r="35" spans="2:241">
      <c r="B35" s="818"/>
      <c r="C35" s="818"/>
      <c r="D35" s="819"/>
      <c r="E35" s="819"/>
      <c r="F35" s="819"/>
      <c r="G35" s="819"/>
      <c r="H35" s="40"/>
      <c r="I35" s="39"/>
      <c r="K35" s="558"/>
    </row>
    <row r="36" spans="2:241">
      <c r="B36" s="48" t="str">
        <f>IF(Contents!$B$2=2,"Water use and discharge","Водопользование и водоотведение")</f>
        <v>Water use and discharge</v>
      </c>
      <c r="C36" s="49"/>
      <c r="D36" s="50"/>
      <c r="E36" s="50"/>
      <c r="F36" s="51"/>
      <c r="G36" s="51"/>
      <c r="H36" s="29"/>
      <c r="I36" s="39"/>
      <c r="K36" s="766"/>
      <c r="M36" s="22"/>
    </row>
    <row r="37" spans="2:241" ht="18">
      <c r="B37" s="52" t="str">
        <f>IF(Contents!$B$2=2,"Total water withdrawal","Общий объем забираемой воды")</f>
        <v>Total water withdrawal</v>
      </c>
      <c r="C37" s="53" t="str">
        <f>IF(Contents!$B$2=2,"th. cubic meters","тыс. куб. м")</f>
        <v>th. cubic meters</v>
      </c>
      <c r="D37" s="147">
        <v>2923</v>
      </c>
      <c r="E37" s="147">
        <v>4327</v>
      </c>
      <c r="F37" s="147">
        <v>4224</v>
      </c>
      <c r="G37" s="895">
        <v>2165</v>
      </c>
      <c r="H37" s="55"/>
      <c r="I37" s="56" t="str">
        <f>IF(Contents!$B$2=2,"BR 7","БР 7")</f>
        <v>BR 7</v>
      </c>
      <c r="J37" s="56"/>
      <c r="K37" s="277">
        <v>2</v>
      </c>
      <c r="L37" s="277"/>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row>
    <row r="38" spans="2:241" ht="36">
      <c r="B38" s="52" t="str">
        <f>IF(Contents!$B$2=2,"Volume of own water consumption from all water supply sources, excluding water supply to external consumers without its use","Объем собственного потребления воды из всех источников водоснабжения, без учета отпуска воды внешним потребителям без ее использования")</f>
        <v>Volume of own water consumption from all water supply sources, excluding water supply to external consumers without its use</v>
      </c>
      <c r="C38" s="53" t="str">
        <f>IF(Contents!$B$2=2,"th. cubic meters","тыс. куб. м")</f>
        <v>th. cubic meters</v>
      </c>
      <c r="D38" s="147">
        <v>414</v>
      </c>
      <c r="E38" s="147">
        <v>1808</v>
      </c>
      <c r="F38" s="147">
        <v>1640</v>
      </c>
      <c r="G38" s="895">
        <v>215</v>
      </c>
      <c r="H38" s="55"/>
      <c r="I38" s="56" t="str">
        <f>IF(Contents!$B$2=2,"BR 8","БР 8")</f>
        <v>BR 8</v>
      </c>
      <c r="J38" s="56"/>
      <c r="K38" s="277">
        <v>2</v>
      </c>
      <c r="L38" s="277"/>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row>
    <row r="39" spans="2:241" ht="36">
      <c r="B39" s="52" t="str">
        <f>IF(Contents!$B$2=2,"Percentage of recycled and reused water in total own water consumption from all sources","Доля оборотного и повторно-последовательного водоснабжения в общем объеме собственного потребления воды из всех источников")</f>
        <v>Percentage of recycled and reused water in total own water consumption from all sources</v>
      </c>
      <c r="C39" s="53" t="s">
        <v>0</v>
      </c>
      <c r="D39" s="482" t="s">
        <v>185</v>
      </c>
      <c r="E39" s="482" t="s">
        <v>185</v>
      </c>
      <c r="F39" s="482" t="s">
        <v>185</v>
      </c>
      <c r="G39" s="895">
        <v>16</v>
      </c>
      <c r="H39" s="55"/>
      <c r="I39" s="56" t="str">
        <f>IF(Contents!$B$2=2,"BR 9","БР 9")</f>
        <v>BR 9</v>
      </c>
      <c r="J39" s="56"/>
      <c r="K39" s="277">
        <v>2</v>
      </c>
      <c r="L39" s="277"/>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row>
    <row r="40" spans="2:241" ht="54">
      <c r="B40" s="52" t="str">
        <f>IF(Contents!$B$2=2,"Volume of polluted wastewater discharges into water bodies (polluted, normatively clean, normatively treated) and/or transferred polluted wastewater for treatment to other enterprises","Объем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f>
        <v>Volume of polluted wastewater discharges into water bodies (polluted, normatively clean, normatively treated) and/or transferred polluted wastewater for treatment to other enterprises</v>
      </c>
      <c r="C40" s="53" t="str">
        <f>IF(Contents!$B$2=2,"th. cubic meters","тыс. куб. м")</f>
        <v>th. cubic meters</v>
      </c>
      <c r="D40" s="147">
        <v>0</v>
      </c>
      <c r="E40" s="147">
        <v>0</v>
      </c>
      <c r="F40" s="147">
        <v>0</v>
      </c>
      <c r="G40" s="895">
        <v>0</v>
      </c>
      <c r="H40" s="55"/>
      <c r="I40" s="56" t="str">
        <f>IF(Contents!$B$2=2,"BR 10","БР 10")</f>
        <v>BR 10</v>
      </c>
      <c r="J40" s="56"/>
      <c r="K40" s="277">
        <v>2</v>
      </c>
      <c r="L40" s="56"/>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row>
    <row r="41" spans="2:241" ht="18">
      <c r="B41" s="57"/>
      <c r="C41" s="12"/>
      <c r="D41" s="10"/>
      <c r="E41" s="10"/>
      <c r="F41" s="10"/>
      <c r="G41" s="10"/>
      <c r="H41" s="59"/>
      <c r="I41" s="60"/>
      <c r="J41" s="56"/>
      <c r="K41" s="56"/>
      <c r="L41" s="56"/>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row>
    <row r="42" spans="2:241">
      <c r="B42" s="768" t="str">
        <f>IF(Contents!$B$2=2,"Waste generation and movement","Образование и движение отходов")</f>
        <v>Waste generation and movement</v>
      </c>
      <c r="C42" s="767"/>
      <c r="D42" s="663"/>
      <c r="E42" s="663"/>
      <c r="F42" s="663"/>
      <c r="G42" s="663"/>
      <c r="H42" s="29"/>
      <c r="I42" s="39"/>
      <c r="K42" s="766"/>
      <c r="M42" s="22"/>
    </row>
    <row r="43" spans="2:241" ht="18">
      <c r="B43" s="52" t="str">
        <f>IF(Contents!$B$2=2,"Waste generation","Образование отходов")</f>
        <v>Waste generation</v>
      </c>
      <c r="C43" s="12" t="str">
        <f>IF(Contents!$B$2=2,"th. tons","тыс. т")</f>
        <v>th. tons</v>
      </c>
      <c r="D43" s="67">
        <v>91.034000000000006</v>
      </c>
      <c r="E43" s="67">
        <v>72.161999999999992</v>
      </c>
      <c r="F43" s="67">
        <v>117.65400000000001</v>
      </c>
      <c r="G43" s="894">
        <v>110.33499999999999</v>
      </c>
      <c r="H43" s="55"/>
      <c r="I43" s="56" t="str">
        <f>IF(Contents!$B$2=2,"BR 11","БР 11")</f>
        <v>BR 11</v>
      </c>
      <c r="J43" s="55"/>
      <c r="K43" s="277">
        <v>2</v>
      </c>
      <c r="L43" s="277"/>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row>
    <row r="44" spans="2:241">
      <c r="B44" s="23" t="str">
        <f>IF(Contents!$B$2=2,"by environmental impact","по степени воздействия на окружающую среду")</f>
        <v>by environmental impact</v>
      </c>
      <c r="C44" s="13"/>
      <c r="D44" s="69"/>
      <c r="E44" s="69"/>
      <c r="F44" s="69"/>
      <c r="G44" s="69"/>
      <c r="H44" s="56"/>
      <c r="I44" s="606"/>
      <c r="J44" s="56"/>
      <c r="K44" s="56"/>
      <c r="L44" s="56"/>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row>
    <row r="45" spans="2:241" ht="18">
      <c r="B45" s="41" t="str">
        <f>IF(Contents!$B$2=2,"Hazard class I","I класс опасности")</f>
        <v>Hazard class I</v>
      </c>
      <c r="C45" s="12" t="str">
        <f>IF(Contents!$B$2=2,"th. tons","тыс. т")</f>
        <v>th. tons</v>
      </c>
      <c r="D45" s="765">
        <v>4.0000000000000001E-3</v>
      </c>
      <c r="E45" s="765">
        <v>2E-3</v>
      </c>
      <c r="F45" s="765">
        <v>4.0000000000000001E-3</v>
      </c>
      <c r="G45" s="896">
        <v>2E-3</v>
      </c>
      <c r="H45" s="71"/>
      <c r="I45" s="56" t="str">
        <f>IF(Contents!$B$2=2,"BR 11.1","БР 11.1")</f>
        <v>BR 11.1</v>
      </c>
      <c r="J45" s="71"/>
      <c r="K45" s="277">
        <v>2</v>
      </c>
      <c r="L45" s="308"/>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row>
    <row r="46" spans="2:241" ht="18">
      <c r="B46" s="41" t="str">
        <f>IF(Contents!$B$2=2,"Hazard class II","II класс опасности")</f>
        <v>Hazard class II</v>
      </c>
      <c r="C46" s="12" t="str">
        <f>IF(Contents!$B$2=2,"th. tons","тыс. т")</f>
        <v>th. tons</v>
      </c>
      <c r="D46" s="764">
        <v>0.03</v>
      </c>
      <c r="E46" s="764">
        <v>0.06</v>
      </c>
      <c r="F46" s="764">
        <v>0.15</v>
      </c>
      <c r="G46" s="680">
        <v>0.126</v>
      </c>
      <c r="H46" s="55"/>
      <c r="I46" s="56" t="str">
        <f>IF(Contents!$B$2=2,"BR 11.2","БР 11.2")</f>
        <v>BR 11.2</v>
      </c>
      <c r="J46" s="55"/>
      <c r="K46" s="277">
        <v>2</v>
      </c>
      <c r="L46" s="55"/>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row>
    <row r="47" spans="2:241" ht="18">
      <c r="B47" s="41" t="str">
        <f>IF(Contents!$B$2=2,"Hazard class III","III класс опасности")</f>
        <v>Hazard class III</v>
      </c>
      <c r="C47" s="12" t="str">
        <f>IF(Contents!$B$2=2,"th. tons","тыс. т")</f>
        <v>th. tons</v>
      </c>
      <c r="D47" s="72">
        <v>2</v>
      </c>
      <c r="E47" s="72">
        <v>2.7</v>
      </c>
      <c r="F47" s="72">
        <v>23.6</v>
      </c>
      <c r="G47" s="897">
        <v>23.344999999999999</v>
      </c>
      <c r="H47" s="55"/>
      <c r="I47" s="56" t="str">
        <f>IF(Contents!$B$2=2,"BR 11.3","БР 11.3")</f>
        <v>BR 11.3</v>
      </c>
      <c r="J47" s="55"/>
      <c r="K47" s="277">
        <v>2</v>
      </c>
      <c r="L47" s="55"/>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row>
    <row r="48" spans="2:241" ht="18">
      <c r="B48" s="41" t="str">
        <f>IF(Contents!$B$2=2,"Hazard class IV","IV класс опасности")</f>
        <v>Hazard class IV</v>
      </c>
      <c r="C48" s="12" t="str">
        <f>IF(Contents!$B$2=2,"th. tons","тыс. т")</f>
        <v>th. tons</v>
      </c>
      <c r="D48" s="72">
        <v>85.2</v>
      </c>
      <c r="E48" s="72">
        <v>65.3</v>
      </c>
      <c r="F48" s="72">
        <v>87.7</v>
      </c>
      <c r="G48" s="897">
        <v>81.453999999999994</v>
      </c>
      <c r="H48" s="55"/>
      <c r="I48" s="56" t="str">
        <f>IF(Contents!$B$2=2,"BR 11.4","БР 11.4")</f>
        <v>BR 11.4</v>
      </c>
      <c r="J48" s="55"/>
      <c r="K48" s="277">
        <v>2</v>
      </c>
      <c r="L48" s="55"/>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row>
    <row r="49" spans="2:241" ht="18">
      <c r="B49" s="41" t="str">
        <f>IF(Contents!$B$2=2,"Hazard class V","V класс опасности")</f>
        <v>Hazard class V</v>
      </c>
      <c r="C49" s="12" t="str">
        <f>IF(Contents!$B$2=2,"th. tons","тыс. т")</f>
        <v>th. tons</v>
      </c>
      <c r="D49" s="72">
        <v>3.8</v>
      </c>
      <c r="E49" s="72">
        <v>4.0999999999999996</v>
      </c>
      <c r="F49" s="72">
        <v>6.2</v>
      </c>
      <c r="G49" s="897">
        <v>5.4080000000000004</v>
      </c>
      <c r="H49" s="55"/>
      <c r="I49" s="56" t="str">
        <f>IF(Contents!$B$2=2,"BR 11.5","БР 11.5")</f>
        <v>BR 11.5</v>
      </c>
      <c r="J49" s="55"/>
      <c r="K49" s="277">
        <v>2</v>
      </c>
      <c r="L49" s="55"/>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row>
    <row r="50" spans="2:241" ht="18">
      <c r="B50" s="52" t="str">
        <f>IF(Contents!$B$2=2,"Waste movement","Движение отходов")</f>
        <v>Waste movement</v>
      </c>
      <c r="C50" s="12" t="str">
        <f>IF(Contents!$B$2=2,"th. tons","тыс. т")</f>
        <v>th. tons</v>
      </c>
      <c r="D50" s="54">
        <v>94.8</v>
      </c>
      <c r="E50" s="54">
        <v>68.800000000000011</v>
      </c>
      <c r="F50" s="54">
        <v>117.80000000000001</v>
      </c>
      <c r="G50" s="826">
        <v>104.39999999999999</v>
      </c>
      <c r="H50" s="55"/>
      <c r="I50" s="56" t="str">
        <f>IF(Contents!$B$2=2,"BR 12","БР 12")</f>
        <v>BR 12</v>
      </c>
      <c r="J50" s="55"/>
      <c r="K50" s="55"/>
      <c r="L50" s="55"/>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row>
    <row r="51" spans="2:241">
      <c r="B51" s="23" t="str">
        <f>IF(Contents!$B$2=2,"by direction","по направлениям")</f>
        <v>by direction</v>
      </c>
      <c r="C51" s="13"/>
      <c r="D51" s="73"/>
      <c r="E51" s="73"/>
      <c r="F51" s="73"/>
      <c r="G51" s="73"/>
      <c r="H51" s="56"/>
      <c r="I51" s="56"/>
      <c r="J51" s="56"/>
      <c r="K51" s="56"/>
      <c r="L51" s="56"/>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row>
    <row r="52" spans="2:241" ht="18">
      <c r="B52" s="41" t="str">
        <f>IF(Contents!$B$2=2,"Processed","Утилизировано")</f>
        <v>Processed</v>
      </c>
      <c r="C52" s="12" t="str">
        <f>IF(Contents!$B$2=2,"th. tons","тыс. т")</f>
        <v>th. tons</v>
      </c>
      <c r="D52" s="67">
        <v>85.9</v>
      </c>
      <c r="E52" s="67">
        <v>58.7</v>
      </c>
      <c r="F52" s="67">
        <v>86.7</v>
      </c>
      <c r="G52" s="894">
        <v>76.2</v>
      </c>
      <c r="H52" s="55"/>
      <c r="I52" s="56" t="str">
        <f>IF(Contents!$B$2=2,"BR 12.1","БР 12.1")</f>
        <v>BR 12.1</v>
      </c>
      <c r="J52" s="55"/>
      <c r="K52" s="277">
        <v>2</v>
      </c>
      <c r="L52" s="55"/>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row>
    <row r="53" spans="2:241">
      <c r="B53" s="820" t="str">
        <f>IF(Contents!$B$2=2,"Reused","Повторно использовано")</f>
        <v>Reused</v>
      </c>
      <c r="C53" s="12" t="str">
        <f>IF(Contents!$B$2=2,"th. tons","тыс. т")</f>
        <v>th. tons</v>
      </c>
      <c r="D53" s="67">
        <v>0</v>
      </c>
      <c r="E53" s="67">
        <v>0</v>
      </c>
      <c r="F53" s="67">
        <v>0</v>
      </c>
      <c r="G53" s="894">
        <v>0</v>
      </c>
      <c r="H53" s="71"/>
      <c r="I53" s="56" t="str">
        <f>IF(Contents!$B$2=2,"BR 12.1.1","БР 12.1.1")</f>
        <v>BR 12.1.1</v>
      </c>
      <c r="J53" s="71"/>
      <c r="K53" s="277">
        <v>2</v>
      </c>
      <c r="L53" s="308"/>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row>
    <row r="54" spans="2:241">
      <c r="B54" s="820" t="str">
        <f>IF(Contents!$B$2=2,"Processed (recycled)","Утилизировано (переработано)")</f>
        <v>Processed (recycled)</v>
      </c>
      <c r="C54" s="12" t="str">
        <f>IF(Contents!$B$2=2,"th. tons","тыс. т")</f>
        <v>th. tons</v>
      </c>
      <c r="D54" s="67">
        <v>85.9</v>
      </c>
      <c r="E54" s="67">
        <v>58.7</v>
      </c>
      <c r="F54" s="67">
        <v>86.7</v>
      </c>
      <c r="G54" s="894">
        <v>76.2</v>
      </c>
      <c r="H54" s="55"/>
      <c r="I54" s="56" t="str">
        <f>IF(Contents!$B$2=2,"BR 12.1.2","БР 12.1.2")</f>
        <v>BR 12.1.2</v>
      </c>
      <c r="J54" s="55"/>
      <c r="K54" s="277">
        <v>2</v>
      </c>
      <c r="L54" s="55"/>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row>
    <row r="55" spans="2:241" ht="18">
      <c r="B55" s="41" t="str">
        <f>IF(Contents!$B$2=2,"Decontaminated","Обезврежено")</f>
        <v>Decontaminated</v>
      </c>
      <c r="C55" s="12" t="str">
        <f>IF(Contents!$B$2=2,"th. tons","тыс. т")</f>
        <v>th. tons</v>
      </c>
      <c r="D55" s="67">
        <v>7.8</v>
      </c>
      <c r="E55" s="67">
        <v>8.4</v>
      </c>
      <c r="F55" s="67">
        <v>29.1</v>
      </c>
      <c r="G55" s="894">
        <v>26.9</v>
      </c>
      <c r="H55" s="55"/>
      <c r="I55" s="56" t="str">
        <f>IF(Contents!$B$2=2,"BR 12.2","БР 12.2")</f>
        <v>BR 12.2</v>
      </c>
      <c r="J55" s="55"/>
      <c r="K55" s="277">
        <v>2</v>
      </c>
      <c r="L55" s="55"/>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row>
    <row r="56" spans="2:241" ht="18">
      <c r="B56" s="41" t="str">
        <f>IF(Contents!$B$2=2,"Disposed","Размещено")</f>
        <v>Disposed</v>
      </c>
      <c r="C56" s="12" t="str">
        <f>IF(Contents!$B$2=2,"th. tons","тыс. т")</f>
        <v>th. tons</v>
      </c>
      <c r="D56" s="67">
        <v>1.1000000000000001</v>
      </c>
      <c r="E56" s="67">
        <v>1.7</v>
      </c>
      <c r="F56" s="67">
        <v>2</v>
      </c>
      <c r="G56" s="894">
        <v>1.3</v>
      </c>
      <c r="H56" s="55"/>
      <c r="I56" s="56" t="str">
        <f>IF(Contents!$B$2=2,"BR 12.3","БР 12.3")</f>
        <v>BR 12.3</v>
      </c>
      <c r="J56" s="55"/>
      <c r="K56" s="277">
        <v>2</v>
      </c>
      <c r="L56" s="55"/>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row>
    <row r="57" spans="2:241" ht="18">
      <c r="B57" s="41"/>
      <c r="C57" s="12"/>
      <c r="D57" s="74"/>
      <c r="E57" s="74"/>
      <c r="F57" s="74"/>
      <c r="G57" s="74"/>
      <c r="H57" s="55"/>
      <c r="I57" s="55"/>
      <c r="J57" s="55"/>
      <c r="K57" s="55"/>
      <c r="L57" s="55"/>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row>
    <row r="58" spans="2:241">
      <c r="B58" s="48" t="str">
        <f>IF(Contents!$B$2=2,"Environmental expenses","Расходы на охрану окружающей среды")</f>
        <v>Environmental expenses</v>
      </c>
      <c r="C58" s="49"/>
      <c r="D58" s="50"/>
      <c r="E58" s="50"/>
      <c r="F58" s="51"/>
      <c r="G58" s="51"/>
      <c r="H58" s="29"/>
      <c r="I58" s="39"/>
      <c r="K58" s="558"/>
      <c r="M58" s="22"/>
    </row>
    <row r="59" spans="2:241">
      <c r="B59" s="52" t="str">
        <f>IF(Contents!$B$2=2,"Costs of compensation and penalties","Затраты на компенсации и штрафы")</f>
        <v>Costs of compensation and penalties</v>
      </c>
      <c r="C59" s="53" t="str">
        <f>IF(Contents!$B$2=2,"RR th.","тыс. руб.")</f>
        <v>RR th.</v>
      </c>
      <c r="D59" s="91">
        <v>973</v>
      </c>
      <c r="E59" s="91">
        <v>1858</v>
      </c>
      <c r="F59" s="91">
        <v>316</v>
      </c>
      <c r="G59" s="793">
        <v>259</v>
      </c>
      <c r="H59" s="29"/>
      <c r="I59" s="56" t="str">
        <f>IF(Contents!$B$2=2,"BR 13","БР 13")</f>
        <v>BR 13</v>
      </c>
      <c r="K59" s="277">
        <v>2</v>
      </c>
      <c r="L59" s="277"/>
      <c r="M59" s="22"/>
    </row>
    <row r="60" spans="2:241">
      <c r="B60" s="87" t="str">
        <f>IF(Contents!$B$2=2,"Fines for violating environmental legislation","Штрафы за нарушения природоохранного законодательства")</f>
        <v>Fines for violating environmental legislation</v>
      </c>
      <c r="C60" s="53" t="str">
        <f>IF(Contents!$B$2=2,"RR th.","тыс. руб.")</f>
        <v>RR th.</v>
      </c>
      <c r="D60" s="91">
        <v>973</v>
      </c>
      <c r="E60" s="91">
        <v>1858</v>
      </c>
      <c r="F60" s="91">
        <v>316</v>
      </c>
      <c r="G60" s="793">
        <v>259</v>
      </c>
      <c r="H60" s="29"/>
      <c r="I60" s="56" t="str">
        <f>IF(Contents!$B$2=2,"BR 13.1","БР 13.1")</f>
        <v>BR 13.1</v>
      </c>
      <c r="K60" s="277">
        <v>2</v>
      </c>
      <c r="L60" s="277"/>
      <c r="M60" s="22"/>
    </row>
    <row r="61" spans="2:241">
      <c r="B61" s="285" t="str">
        <f>IF(Contents!$B$2=2,"for cases of non-compliance with laws and regulations in the reporting year","за случаи несоблюдения законов и правил в отчетном году")</f>
        <v>for cases of non-compliance with laws and regulations in the reporting year</v>
      </c>
      <c r="C61" s="53" t="str">
        <f>IF(Contents!$B$2=2,"RR th.","тыс. руб.")</f>
        <v>RR th.</v>
      </c>
      <c r="D61" s="506">
        <v>973</v>
      </c>
      <c r="E61" s="506">
        <v>150</v>
      </c>
      <c r="F61" s="506">
        <v>240</v>
      </c>
      <c r="G61" s="898">
        <v>140</v>
      </c>
      <c r="H61" s="29"/>
      <c r="I61" s="56"/>
      <c r="K61" s="277">
        <v>2</v>
      </c>
      <c r="L61" s="297"/>
      <c r="M61" s="22"/>
    </row>
    <row r="62" spans="2:241">
      <c r="B62" s="285" t="str">
        <f>IF(Contents!$B$2=2,"for cases of non-compliance with laws and regulations in previous years","за случаи несоблюдения законов и правил в предыдущих годах")</f>
        <v>for cases of non-compliance with laws and regulations in previous years</v>
      </c>
      <c r="C62" s="53" t="str">
        <f>IF(Contents!$B$2=2,"RR th.","тыс. руб.")</f>
        <v>RR th.</v>
      </c>
      <c r="D62" s="506" t="s">
        <v>185</v>
      </c>
      <c r="E62" s="506">
        <v>1708</v>
      </c>
      <c r="F62" s="506">
        <v>76</v>
      </c>
      <c r="G62" s="898">
        <v>119</v>
      </c>
      <c r="H62" s="29"/>
      <c r="I62" s="56"/>
      <c r="K62" s="277">
        <v>2</v>
      </c>
      <c r="L62" s="297"/>
      <c r="M62" s="22"/>
    </row>
    <row r="63" spans="2:241" ht="47.25" customHeight="1">
      <c r="B63" s="87" t="str">
        <f>IF(Contents!$B$2=2,"Compensation paid for harm (damage) caused to the environment, individual components of the natural environment (land, water bodies, forests, wildlife, etc.)","Выплаченная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f>
        <v>Compensation paid for harm (damage) caused to the environment, individual components of the natural environment (land, water bodies, forests, wildlife, etc.)</v>
      </c>
      <c r="C63" s="53" t="str">
        <f>IF(Contents!$B$2=2,"RR th.","тыс. руб.")</f>
        <v>RR th.</v>
      </c>
      <c r="D63" s="88" t="s">
        <v>185</v>
      </c>
      <c r="E63" s="88" t="s">
        <v>185</v>
      </c>
      <c r="F63" s="88">
        <v>0</v>
      </c>
      <c r="G63" s="899">
        <v>0</v>
      </c>
      <c r="H63" s="29"/>
      <c r="I63" s="56" t="str">
        <f>IF(Contents!$B$2=2,"BR 13.2","БР 13.2")</f>
        <v>BR 13.2</v>
      </c>
      <c r="K63" s="277">
        <v>2</v>
      </c>
      <c r="L63" s="297"/>
      <c r="M63" s="22"/>
    </row>
    <row r="65" spans="2:241">
      <c r="B65" s="52" t="str">
        <f>IF(Contents!$B$2=2,"Expenses on the implementation of activities related to environmental protection","Расходы на реализацию мероприятий, связанных с охраной окружающей среды")</f>
        <v>Expenses on the implementation of activities related to environmental protection</v>
      </c>
      <c r="C65" s="53" t="str">
        <f>IF(Contents!$B$2=2,"RR th.","тыс. руб.")</f>
        <v>RR th.</v>
      </c>
      <c r="D65" s="91">
        <v>2570042</v>
      </c>
      <c r="E65" s="91">
        <v>3088388.1134981336</v>
      </c>
      <c r="F65" s="91">
        <v>3428649.9670470846</v>
      </c>
      <c r="G65" s="793">
        <v>3277126.3</v>
      </c>
      <c r="H65" s="29"/>
      <c r="I65" s="56" t="str">
        <f>IF(Contents!$B$2=2,"BR 14","БР 14")</f>
        <v>BR 14</v>
      </c>
      <c r="K65" s="277">
        <v>2</v>
      </c>
      <c r="L65" s="277"/>
      <c r="M65" s="22"/>
    </row>
    <row r="66" spans="2:241">
      <c r="B66" s="23" t="str">
        <f>IF(Contents!$B$2=2,"by areas of environmental protection activities","по направлениям проведения природоохранных мероприятий")</f>
        <v>by areas of environmental protection activities</v>
      </c>
      <c r="C66" s="77"/>
      <c r="D66" s="84"/>
      <c r="E66" s="84"/>
      <c r="F66" s="84"/>
      <c r="G66" s="84"/>
      <c r="H66" s="29"/>
      <c r="I66" s="39"/>
      <c r="K66" s="277"/>
      <c r="L66" s="277"/>
      <c r="M66" s="22"/>
    </row>
    <row r="67" spans="2:241">
      <c r="B67" s="87" t="str">
        <f>IF(Contents!$B$2=2,"For air protection and climate change prevention","На охрану атмосферного воздуха и предотвращение изменения климата")</f>
        <v>For air protection and climate change prevention</v>
      </c>
      <c r="C67" s="53" t="str">
        <f>IF(Contents!$B$2=2,"RR th.","тыс. руб.")</f>
        <v>RR th.</v>
      </c>
      <c r="D67" s="91">
        <v>209214.91244260001</v>
      </c>
      <c r="E67" s="91">
        <v>709930.76018994965</v>
      </c>
      <c r="F67" s="91">
        <v>277309.76520298002</v>
      </c>
      <c r="G67" s="793">
        <v>624185.11738839594</v>
      </c>
      <c r="H67" s="29"/>
      <c r="I67" s="56" t="str">
        <f>IF(Contents!$B$2=2,"BR 14.1","БР 14.1")</f>
        <v>BR 14.1</v>
      </c>
      <c r="K67" s="277">
        <v>2</v>
      </c>
      <c r="L67" s="277"/>
      <c r="M67" s="783"/>
    </row>
    <row r="68" spans="2:241">
      <c r="B68" s="87" t="str">
        <f>IF(Contents!$B$2=2,"For waste water collection and treatment","На сбор и очистку сточных вод")</f>
        <v>For waste water collection and treatment</v>
      </c>
      <c r="C68" s="53" t="str">
        <f>IF(Contents!$B$2=2,"RR th.","тыс. руб.")</f>
        <v>RR th.</v>
      </c>
      <c r="D68" s="91">
        <v>743990.57616974995</v>
      </c>
      <c r="E68" s="91">
        <v>1004588.8252395431</v>
      </c>
      <c r="F68" s="91">
        <v>2033546.6113855781</v>
      </c>
      <c r="G68" s="793">
        <v>1691733.4485025997</v>
      </c>
      <c r="H68" s="29"/>
      <c r="I68" s="56" t="str">
        <f>IF(Contents!$B$2=2,"BR 14.2","БР 14.2")</f>
        <v>BR 14.2</v>
      </c>
      <c r="K68" s="277">
        <v>2</v>
      </c>
      <c r="L68" s="277"/>
      <c r="M68" s="22"/>
    </row>
    <row r="69" spans="2:241">
      <c r="B69" s="87" t="str">
        <f>IF(Contents!$B$2=2,"For waste management","На обращение с отходами")</f>
        <v>For waste management</v>
      </c>
      <c r="C69" s="53" t="str">
        <f>IF(Contents!$B$2=2,"RR th.","тыс. руб.")</f>
        <v>RR th.</v>
      </c>
      <c r="D69" s="91">
        <v>870649.34575378662</v>
      </c>
      <c r="E69" s="91">
        <v>728774.82264314976</v>
      </c>
      <c r="F69" s="91">
        <v>609976.53624282707</v>
      </c>
      <c r="G69" s="793">
        <v>491591.66621158709</v>
      </c>
      <c r="H69" s="29"/>
      <c r="I69" s="56" t="str">
        <f>IF(Contents!$B$2=2,"BR 14.3","БР 14.3")</f>
        <v>BR 14.3</v>
      </c>
      <c r="K69" s="277">
        <v>2</v>
      </c>
      <c r="L69" s="277"/>
      <c r="M69" s="22"/>
    </row>
    <row r="70" spans="2:241">
      <c r="B70" s="87" t="str">
        <f>IF(Contents!$B$2=2,"For biodiversity and natural areas conservation","На сохранение биоразнообразия и природных территорий")</f>
        <v>For biodiversity and natural areas conservation</v>
      </c>
      <c r="C70" s="53" t="str">
        <f>IF(Contents!$B$2=2,"RR th.","тыс. руб.")</f>
        <v>RR th.</v>
      </c>
      <c r="D70" s="91">
        <v>286692.70105920098</v>
      </c>
      <c r="E70" s="91">
        <v>157865.70542549097</v>
      </c>
      <c r="F70" s="91">
        <v>40008.054215700002</v>
      </c>
      <c r="G70" s="793">
        <v>80552</v>
      </c>
      <c r="H70" s="29"/>
      <c r="I70" s="56" t="str">
        <f>IF(Contents!$B$2=2,"BR 14.4","БР 14.4")</f>
        <v>BR 14.4</v>
      </c>
      <c r="K70" s="277">
        <v>2</v>
      </c>
      <c r="L70" s="277"/>
      <c r="M70" s="22"/>
    </row>
    <row r="71" spans="2:241" ht="36">
      <c r="B71" s="87" t="str">
        <f>IF(Contents!$B$2=2,"For protection and rational use of lands, rehabilitation of lands and protection of subsurface resources","На охрану и рациональное использование земель, реабилитацию земель и охрану недр")</f>
        <v>For protection and rational use of lands, rehabilitation of lands and protection of subsurface resources</v>
      </c>
      <c r="C71" s="53" t="str">
        <f>IF(Contents!$B$2=2,"RR th.","тыс. руб.")</f>
        <v>RR th.</v>
      </c>
      <c r="D71" s="91">
        <v>222756</v>
      </c>
      <c r="E71" s="91">
        <v>245897</v>
      </c>
      <c r="F71" s="91">
        <v>248264</v>
      </c>
      <c r="G71" s="793">
        <v>251417.83103328303</v>
      </c>
      <c r="H71" s="29"/>
      <c r="I71" s="56" t="str">
        <f>IF(Contents!$B$2=2,"BR 14.5","БР 14.5")</f>
        <v>BR 14.5</v>
      </c>
      <c r="K71" s="277">
        <v>2</v>
      </c>
      <c r="L71" s="277"/>
      <c r="M71" s="22"/>
    </row>
    <row r="72" spans="2:241" ht="35.1" customHeight="1">
      <c r="B72" s="87" t="str">
        <f>IF(Contents!$B$2=2,"For environmental protection from noise, vibration and other physical impacts","На защиту окружающей среды от шумового, вибрационного и других видов физического воздействия")</f>
        <v>For environmental protection from noise, vibration and other physical impacts</v>
      </c>
      <c r="C72" s="53" t="str">
        <f>IF(Contents!$B$2=2,"RR th.","тыс. руб.")</f>
        <v>RR th.</v>
      </c>
      <c r="D72" s="91" t="s">
        <v>185</v>
      </c>
      <c r="E72" s="91" t="s">
        <v>185</v>
      </c>
      <c r="F72" s="91">
        <v>610</v>
      </c>
      <c r="G72" s="793">
        <v>0</v>
      </c>
      <c r="H72" s="29"/>
      <c r="I72" s="56" t="str">
        <f>IF(Contents!$B$2=2,"BR 14.6","БР 14.6")</f>
        <v>BR 14.6</v>
      </c>
      <c r="K72" s="277">
        <v>2</v>
      </c>
      <c r="L72" s="56"/>
      <c r="M72" s="22"/>
    </row>
    <row r="73" spans="2:241">
      <c r="B73" s="87" t="str">
        <f>IF(Contents!$B$2=2,"For other environmental activities","На другие направления деятельности в сфере охраны окружающей среды")</f>
        <v>For other environmental activities</v>
      </c>
      <c r="C73" s="53" t="str">
        <f>IF(Contents!$B$2=2,"RR th.","тыс. руб.")</f>
        <v>RR th.</v>
      </c>
      <c r="D73" s="91">
        <v>225664</v>
      </c>
      <c r="E73" s="91">
        <v>232881</v>
      </c>
      <c r="F73" s="91">
        <v>215192</v>
      </c>
      <c r="G73" s="793">
        <v>133684.29248116398</v>
      </c>
      <c r="H73" s="29"/>
      <c r="I73" s="56" t="str">
        <f>IF(Contents!$B$2=2,"BR 14.8","БР 14.8")</f>
        <v>BR 14.8</v>
      </c>
      <c r="K73" s="277">
        <v>2</v>
      </c>
      <c r="L73" s="277"/>
      <c r="M73" s="22"/>
    </row>
    <row r="74" spans="2:241">
      <c r="B74" s="87"/>
      <c r="C74" s="53"/>
      <c r="D74" s="88"/>
      <c r="E74" s="88"/>
      <c r="F74" s="88"/>
      <c r="G74" s="88"/>
      <c r="H74" s="29"/>
      <c r="I74" s="39"/>
      <c r="K74" s="558"/>
      <c r="M74" s="22"/>
    </row>
    <row r="75" spans="2:241" ht="18">
      <c r="B75" s="25" t="str">
        <f>IF(Contents!$B$2=2,"Notes:","Примечания:")</f>
        <v>Notes:</v>
      </c>
      <c r="C75" s="61"/>
      <c r="D75" s="62"/>
      <c r="E75" s="62"/>
      <c r="F75" s="62"/>
      <c r="G75" s="62"/>
      <c r="H75" s="59"/>
      <c r="I75" s="60"/>
      <c r="J75" s="56"/>
      <c r="K75" s="56"/>
      <c r="L75" s="56"/>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row>
    <row r="76" spans="2:241" ht="18">
      <c r="B76" s="65" t="str">
        <f>IF(Contents!$B$2=2, C78, B78)</f>
        <v>Environmental expenses include Expenses on the implementation of activities related to environmental protection and Costs of compensation in the form of payment for negative environmental impact</v>
      </c>
      <c r="C76" s="65"/>
      <c r="D76" s="66"/>
      <c r="E76" s="66"/>
      <c r="F76" s="66"/>
      <c r="G76" s="66"/>
      <c r="H76" s="755"/>
      <c r="I76" s="60"/>
      <c r="J76" s="56"/>
      <c r="K76" s="56"/>
      <c r="L76" s="56"/>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row>
    <row r="77" spans="2:241" ht="18">
      <c r="B77" s="65" t="str">
        <f xml:space="preserve"> IF(Contents!$B$2=2, E78, D78)</f>
        <v>Expenses on other environmental activities include costs of environmental monitoring, management, and other activities.</v>
      </c>
      <c r="C77" s="65"/>
      <c r="D77" s="66"/>
      <c r="E77" s="66"/>
      <c r="F77" s="66"/>
      <c r="G77" s="66"/>
      <c r="H77" s="755"/>
      <c r="I77" s="60"/>
      <c r="J77" s="56"/>
      <c r="K77" s="56"/>
      <c r="L77" s="56"/>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row>
    <row r="78" spans="2:241">
      <c r="B78" s="114" t="s">
        <v>10</v>
      </c>
      <c r="C78" s="114" t="s">
        <v>35</v>
      </c>
      <c r="D78" s="528" t="s">
        <v>27</v>
      </c>
      <c r="E78" s="528" t="s">
        <v>36</v>
      </c>
      <c r="F78" s="82"/>
      <c r="G78" s="82"/>
      <c r="H78" s="29"/>
      <c r="I78" s="39"/>
      <c r="K78" s="558"/>
      <c r="M78" s="22"/>
    </row>
    <row r="79" spans="2:241" ht="36">
      <c r="B79" s="48"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Capital investments aimed at environmental protection and rational use of natural resources</v>
      </c>
      <c r="C79" s="49"/>
      <c r="D79" s="50"/>
      <c r="E79" s="50"/>
      <c r="F79" s="51"/>
      <c r="G79" s="51"/>
      <c r="H79" s="29"/>
      <c r="I79" s="39"/>
      <c r="K79" s="558"/>
      <c r="M79" s="22"/>
    </row>
    <row r="80" spans="2:241" ht="36">
      <c r="B80" s="52"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Capital investments aimed at environmental protection and rational use of natural resources</v>
      </c>
      <c r="C80" s="53" t="str">
        <f>IF(Contents!$B$2=2,"RR th.","тыс. руб.")</f>
        <v>RR th.</v>
      </c>
      <c r="D80" s="99">
        <v>2001546</v>
      </c>
      <c r="E80" s="99">
        <v>3481201.4206000003</v>
      </c>
      <c r="F80" s="862">
        <v>1989899.4568</v>
      </c>
      <c r="G80" s="914">
        <v>3601908.4220000003</v>
      </c>
      <c r="H80" s="29"/>
      <c r="I80" s="56" t="str">
        <f>IF(Contents!$B$2=2,"BR 11","БР 11")</f>
        <v>BR 11</v>
      </c>
      <c r="K80" s="558">
        <v>2</v>
      </c>
      <c r="M80" s="22"/>
    </row>
    <row r="81" spans="2:13">
      <c r="B81" s="114"/>
      <c r="C81" s="115"/>
      <c r="D81" s="675"/>
      <c r="E81" s="675"/>
      <c r="F81" s="675"/>
      <c r="G81" s="675"/>
      <c r="H81" s="29"/>
      <c r="I81" s="39"/>
      <c r="K81" s="558"/>
      <c r="M81" s="22"/>
    </row>
    <row r="82" spans="2:13">
      <c r="B82" s="45" t="str">
        <f>IF(Contents!$B$2=2,"Social indicators","Социальные показатели")</f>
        <v>Social indicators</v>
      </c>
      <c r="C82" s="45"/>
      <c r="D82" s="719"/>
      <c r="E82" s="719"/>
      <c r="F82" s="719"/>
      <c r="G82" s="719"/>
      <c r="H82" s="29"/>
      <c r="I82" s="39"/>
      <c r="K82" s="558"/>
      <c r="M82" s="22"/>
    </row>
    <row r="83" spans="2:13">
      <c r="B83" s="52" t="str">
        <f>IF(Contents!$B$2=2,"Compensation expenses","Расходы на оплату труда")</f>
        <v>Compensation expenses</v>
      </c>
      <c r="C83" s="53" t="str">
        <f>IF(Contents!$B$2=2,"RR th.","тыс. руб.")</f>
        <v>RR th.</v>
      </c>
      <c r="D83" s="91" t="s">
        <v>185</v>
      </c>
      <c r="E83" s="107">
        <v>62900000</v>
      </c>
      <c r="F83" s="107">
        <v>67334000</v>
      </c>
      <c r="G83" s="793">
        <v>82300000</v>
      </c>
      <c r="H83" s="29"/>
      <c r="I83" s="56" t="str">
        <f>IF(Contents!$B$2=2,"BR 16","БР 16")</f>
        <v>BR 16</v>
      </c>
      <c r="K83" s="558">
        <v>3</v>
      </c>
      <c r="M83" s="22"/>
    </row>
    <row r="84" spans="2:13">
      <c r="B84" s="52" t="str">
        <f>IF(Contents!$B$2=2,"Average number of employees","Среднесписочная численность работников")</f>
        <v>Average number of employees</v>
      </c>
      <c r="C84" s="53" t="str">
        <f>IF(Contents!$B$2=2,"people","человек")</f>
        <v>people</v>
      </c>
      <c r="D84" s="91">
        <v>18731</v>
      </c>
      <c r="E84" s="91">
        <v>19846</v>
      </c>
      <c r="F84" s="91">
        <v>21157</v>
      </c>
      <c r="G84" s="793">
        <v>22623</v>
      </c>
      <c r="H84" s="29"/>
      <c r="I84" s="56" t="str">
        <f>IF(Contents!$B$2=2,"BR 17","БР 17")</f>
        <v>BR 17</v>
      </c>
      <c r="K84" s="558">
        <v>1</v>
      </c>
      <c r="M84" s="22"/>
    </row>
    <row r="85" spans="2:13">
      <c r="B85" s="23" t="str">
        <f>IF(Contents!$B$2=2,"by gender","по полу")</f>
        <v>by gender</v>
      </c>
      <c r="C85" s="77"/>
      <c r="D85" s="92"/>
      <c r="E85" s="92"/>
      <c r="F85" s="92"/>
      <c r="G85" s="92"/>
      <c r="H85" s="29"/>
      <c r="I85" s="39"/>
      <c r="K85" s="558"/>
      <c r="M85" s="22"/>
    </row>
    <row r="86" spans="2:13">
      <c r="B86" s="93" t="str">
        <f>IF(Contents!$B$2=2,"Males","Мужчины")</f>
        <v>Males</v>
      </c>
      <c r="C86" s="53" t="s">
        <v>0</v>
      </c>
      <c r="D86" s="675">
        <v>78</v>
      </c>
      <c r="E86" s="675">
        <v>79</v>
      </c>
      <c r="F86" s="675">
        <v>80</v>
      </c>
      <c r="G86" s="900">
        <v>81</v>
      </c>
      <c r="H86" s="29"/>
      <c r="I86" s="56" t="str">
        <f>IF(Contents!$B$2=2,"BR 24","БР 24")</f>
        <v>BR 24</v>
      </c>
      <c r="K86" s="558">
        <v>1</v>
      </c>
      <c r="M86" s="22"/>
    </row>
    <row r="87" spans="2:13">
      <c r="B87" s="93" t="str">
        <f>IF(Contents!$B$2=2,"Females","Женщины")</f>
        <v>Females</v>
      </c>
      <c r="C87" s="53" t="s">
        <v>0</v>
      </c>
      <c r="D87" s="675">
        <v>22</v>
      </c>
      <c r="E87" s="675">
        <v>21</v>
      </c>
      <c r="F87" s="675">
        <v>20</v>
      </c>
      <c r="G87" s="900">
        <v>19</v>
      </c>
      <c r="H87" s="29"/>
      <c r="I87" s="56" t="str">
        <f>IF(Contents!$B$2=2,"BR 25","БР 25")</f>
        <v>BR 25</v>
      </c>
      <c r="K87" s="558">
        <v>1</v>
      </c>
      <c r="M87" s="22"/>
    </row>
    <row r="88" spans="2:13">
      <c r="B88" s="23" t="str">
        <f>IF(Contents!$B$2=2,"by age group","по возрастным группам")</f>
        <v>by age group</v>
      </c>
      <c r="C88" s="77"/>
      <c r="D88" s="92"/>
      <c r="E88" s="92"/>
      <c r="F88" s="92"/>
      <c r="G88" s="92"/>
      <c r="H88" s="29"/>
      <c r="I88" s="39"/>
      <c r="K88" s="558"/>
      <c r="M88" s="22"/>
    </row>
    <row r="89" spans="2:13">
      <c r="B89" s="796" t="str">
        <f>IF(Contents!$B$2=2,"Up to 30 years old","До 30 лет")</f>
        <v>Up to 30 years old</v>
      </c>
      <c r="C89" s="53" t="s">
        <v>0</v>
      </c>
      <c r="D89" s="107">
        <v>9</v>
      </c>
      <c r="E89" s="107">
        <v>8</v>
      </c>
      <c r="F89" s="107">
        <v>7.0000000000000009</v>
      </c>
      <c r="G89" s="793">
        <v>7.0000000000000009</v>
      </c>
      <c r="H89" s="29"/>
      <c r="I89" s="56" t="str">
        <f>IF(Contents!$B$2=2,"BR 26","БР 26")</f>
        <v>BR 26</v>
      </c>
      <c r="K89" s="558">
        <v>1</v>
      </c>
      <c r="M89" s="22"/>
    </row>
    <row r="90" spans="2:13">
      <c r="B90" s="796" t="str">
        <f>IF(Contents!$B$2=2,"30 to 50 years old","30-50 лет")</f>
        <v>30 to 50 years old</v>
      </c>
      <c r="C90" s="53" t="s">
        <v>0</v>
      </c>
      <c r="D90" s="107">
        <v>75</v>
      </c>
      <c r="E90" s="107">
        <v>75</v>
      </c>
      <c r="F90" s="107">
        <v>75</v>
      </c>
      <c r="G90" s="793">
        <v>75</v>
      </c>
      <c r="H90" s="29"/>
      <c r="I90" s="56" t="str">
        <f>IF(Contents!$B$2=2,"BR 27","БР 27")</f>
        <v>BR 27</v>
      </c>
      <c r="K90" s="558">
        <v>1</v>
      </c>
      <c r="M90" s="22"/>
    </row>
    <row r="91" spans="2:13">
      <c r="B91" s="796" t="str">
        <f>IF(Contents!$B$2=2,"Over 50 years old","Старше 50 лет")</f>
        <v>Over 50 years old</v>
      </c>
      <c r="C91" s="53" t="s">
        <v>0</v>
      </c>
      <c r="D91" s="107">
        <v>16</v>
      </c>
      <c r="E91" s="107">
        <v>17</v>
      </c>
      <c r="F91" s="107">
        <v>18</v>
      </c>
      <c r="G91" s="793">
        <v>18</v>
      </c>
      <c r="H91" s="29"/>
      <c r="I91" s="56" t="str">
        <f>IF(Contents!$B$2=2,"BR 28","БР 28")</f>
        <v>BR 28</v>
      </c>
      <c r="K91" s="558">
        <v>1</v>
      </c>
      <c r="M91" s="22"/>
    </row>
    <row r="92" spans="2:13" ht="36">
      <c r="B92" s="750" t="str">
        <f>IF(Contents!$B$2=2,"Lost Time Injury Frequency Rate (LTIFR) per 1,000,000 man-hours for the organization's personnel excluding contractor personnel","Коэффициент частоты производственного травматизма персонала организации без учета персонала подрядчиков (LTIFR) на 1 000 000 человеко-часов")</f>
        <v>Lost Time Injury Frequency Rate (LTIFR) per 1,000,000 man-hours for the organization's personnel excluding contractor personnel</v>
      </c>
      <c r="C92" s="754" t="str">
        <f>IF(Contents!$B$2=2,"rate","коэффициент")</f>
        <v>rate</v>
      </c>
      <c r="D92" s="753">
        <v>0.4</v>
      </c>
      <c r="E92" s="753">
        <v>0.28000000000000003</v>
      </c>
      <c r="F92" s="753">
        <v>0.26</v>
      </c>
      <c r="G92" s="902">
        <v>0.19</v>
      </c>
      <c r="I92" s="56" t="str">
        <f>IF(Contents!$B$2=2,"BR 18","БР 18")</f>
        <v>BR 18</v>
      </c>
      <c r="K92" s="56">
        <v>1</v>
      </c>
    </row>
    <row r="93" spans="2:13">
      <c r="B93" s="52" t="str">
        <f>IF(Contents!$B$2=2,"Number of fatalities of the organization's employees, excluding contractor personnel","Количество смертельных случаев работников организации без учета персонала подрядчиков")</f>
        <v>Number of fatalities of the organization's employees, excluding contractor personnel</v>
      </c>
      <c r="C93" s="53" t="str">
        <f>IF(Contents!$B$2=2,"unit","ед.")</f>
        <v>unit</v>
      </c>
      <c r="D93" s="82">
        <v>1</v>
      </c>
      <c r="E93" s="82">
        <v>2</v>
      </c>
      <c r="F93" s="82">
        <v>2</v>
      </c>
      <c r="G93" s="900">
        <v>0</v>
      </c>
      <c r="I93" s="56" t="str">
        <f>IF(Contents!$B$2=2,"BR 19","БР 19")</f>
        <v>BR 19</v>
      </c>
      <c r="K93" s="56">
        <v>1</v>
      </c>
      <c r="M93" s="22"/>
    </row>
    <row r="94" spans="2:13" ht="36">
      <c r="B94" s="52" t="str">
        <f>IF(Contents!$B$2=2,"Fines and penalties imposed and measures taken in connection with violations of labour legislation and other acts containing labour law norms","Наложенные штрафы и меры ответственности в связи с нарушением трудового законодательства и иных актов, содержащих нормы трудового права")</f>
        <v>Fines and penalties imposed and measures taken in connection with violations of labour legislation and other acts containing labour law norms</v>
      </c>
      <c r="C94" s="53" t="str">
        <f>IF(Contents!$B$2=2,"RR th.","тыс. руб.")</f>
        <v>RR th.</v>
      </c>
      <c r="D94" s="96" t="s">
        <v>185</v>
      </c>
      <c r="E94" s="96" t="s">
        <v>185</v>
      </c>
      <c r="F94" s="96">
        <v>0</v>
      </c>
      <c r="G94" s="95">
        <v>0</v>
      </c>
      <c r="H94" s="29"/>
      <c r="I94" s="56" t="str">
        <f>IF(Contents!$B$2=2,"BR 20","БР 20")</f>
        <v>BR 20</v>
      </c>
      <c r="K94" s="558">
        <v>1</v>
      </c>
      <c r="M94" s="22"/>
    </row>
    <row r="95" spans="2:13">
      <c r="B95" s="52" t="str">
        <f>IF(Contents!$B$2=2,"Expenses on occupational health and safety measures","Расходы на мероприятия по охране труда и промышленной безопасности")</f>
        <v>Expenses on occupational health and safety measures</v>
      </c>
      <c r="C95" s="53" t="str">
        <f>IF(Contents!$B$2=2,"RR th.","тыс. руб.")</f>
        <v>RR th.</v>
      </c>
      <c r="D95" s="100">
        <v>3600000</v>
      </c>
      <c r="E95" s="96">
        <v>5029000</v>
      </c>
      <c r="F95" s="96">
        <v>6629000</v>
      </c>
      <c r="G95" s="95">
        <v>7193000</v>
      </c>
      <c r="I95" s="56"/>
      <c r="K95" s="56">
        <v>3</v>
      </c>
    </row>
    <row r="96" spans="2:13">
      <c r="B96" s="87" t="str">
        <f>IF(Contents!$B$2=2,"average per employee (average number of employees)","в среднем на одного работника (на среднесписочную численность работников)")</f>
        <v>average per employee (average number of employees)</v>
      </c>
      <c r="C96" s="53" t="str">
        <f>IF(Contents!$B$2=2,"RR th.","тыс. руб.")</f>
        <v>RR th.</v>
      </c>
      <c r="D96" s="777">
        <v>192</v>
      </c>
      <c r="E96" s="777">
        <v>253</v>
      </c>
      <c r="F96" s="777">
        <v>313</v>
      </c>
      <c r="G96" s="913">
        <v>318</v>
      </c>
      <c r="I96" s="56" t="str">
        <f>IF(Contents!$B$2=2,"BR 21","БР 21")</f>
        <v>BR 21</v>
      </c>
      <c r="K96" s="56">
        <v>2</v>
      </c>
    </row>
    <row r="97" spans="2:13">
      <c r="B97" s="52" t="str">
        <f>IF(Contents!$B$2=2,"Expenses on employee training","Расходы на обучение работников")</f>
        <v>Expenses on employee training</v>
      </c>
      <c r="C97" s="53" t="str">
        <f>IF(Contents!$B$2=2,"RR th.","тыс. руб.")</f>
        <v>RR th.</v>
      </c>
      <c r="D97" s="101">
        <v>80500</v>
      </c>
      <c r="E97" s="139">
        <v>174500</v>
      </c>
      <c r="F97" s="139">
        <v>198000</v>
      </c>
      <c r="G97" s="204">
        <v>217000</v>
      </c>
      <c r="H97" s="29"/>
      <c r="I97" s="56"/>
      <c r="K97" s="558">
        <v>1</v>
      </c>
      <c r="M97" s="22"/>
    </row>
    <row r="98" spans="2:13">
      <c r="B98" s="87" t="str">
        <f>IF(Contents!$B$2=2,"average per employee (average number of employees)","в среднем на одного работника (на среднесписочную численность работников)")</f>
        <v>average per employee (average number of employees)</v>
      </c>
      <c r="C98" s="53" t="str">
        <f>IF(Contents!$B$2=2,"RR th.","тыс. руб.")</f>
        <v>RR th.</v>
      </c>
      <c r="D98" s="378">
        <v>4.3</v>
      </c>
      <c r="E98" s="378">
        <v>8.8000000000000007</v>
      </c>
      <c r="F98" s="378">
        <v>9.4</v>
      </c>
      <c r="G98" s="97">
        <v>9.6</v>
      </c>
      <c r="H98" s="29"/>
      <c r="I98" s="56" t="str">
        <f>IF(Contents!$B$2=2,"BR 22","БР 22")</f>
        <v>BR 22</v>
      </c>
      <c r="K98" s="558">
        <v>1</v>
      </c>
      <c r="M98" s="22"/>
    </row>
    <row r="99" spans="2:13">
      <c r="B99" s="52" t="str">
        <f>IF(Contents!$B$2=2,"Staff turnover rate","Коэффициент текучести кадров")</f>
        <v>Staff turnover rate</v>
      </c>
      <c r="C99" s="53" t="s">
        <v>7</v>
      </c>
      <c r="D99" s="91">
        <v>7</v>
      </c>
      <c r="E99" s="91">
        <v>5</v>
      </c>
      <c r="F99" s="91">
        <v>5</v>
      </c>
      <c r="G99" s="793">
        <v>4</v>
      </c>
      <c r="H99" s="29"/>
      <c r="I99" s="56" t="str">
        <f>IF(Contents!$B$2=2,"BR 23","БР 23")</f>
        <v>BR 23</v>
      </c>
      <c r="K99" s="558">
        <v>1</v>
      </c>
      <c r="M99" s="22"/>
    </row>
    <row r="100" spans="2:13">
      <c r="B100" s="52"/>
      <c r="C100" s="53"/>
      <c r="D100" s="91"/>
      <c r="E100" s="91"/>
      <c r="F100" s="91"/>
      <c r="G100" s="91"/>
      <c r="H100" s="29"/>
      <c r="I100" s="39"/>
      <c r="K100" s="558"/>
      <c r="M100" s="22"/>
    </row>
    <row r="101" spans="2:13">
      <c r="B101" s="45" t="str">
        <f>IF(Contents!$B$2=2,"Management indicators","Управленческие показатели")</f>
        <v>Management indicators</v>
      </c>
      <c r="C101" s="45"/>
      <c r="D101" s="719"/>
      <c r="E101" s="719"/>
      <c r="F101" s="719"/>
      <c r="G101" s="719"/>
      <c r="H101" s="29"/>
      <c r="I101" s="39"/>
      <c r="K101" s="558"/>
      <c r="M101" s="22"/>
    </row>
    <row r="102" spans="2:13">
      <c r="B102" s="52" t="str">
        <f>IF(Contents!$B$2=2,"Amount of mandatory payments accrued (excluding fines, penalties)","Сумма начисленных обязательных платежей (за исключением штрафов, пени)")</f>
        <v>Amount of mandatory payments accrued (excluding fines, penalties)</v>
      </c>
      <c r="C102" s="53" t="str">
        <f>IF(Contents!$B$2=2,"RR th.","тыс. руб.")</f>
        <v>RR th.</v>
      </c>
      <c r="D102" s="46" t="s">
        <v>185</v>
      </c>
      <c r="E102" s="46" t="s">
        <v>185</v>
      </c>
      <c r="F102" s="46" t="s">
        <v>185</v>
      </c>
      <c r="G102" s="925">
        <v>194500000</v>
      </c>
      <c r="H102" s="29"/>
      <c r="I102" s="56" t="str">
        <f>IF(Contents!$B$2=2,"BR 29","БР 29")</f>
        <v>BR 29</v>
      </c>
      <c r="K102" s="558"/>
      <c r="M102" s="22"/>
    </row>
    <row r="103" spans="2:13">
      <c r="B103" s="87" t="str">
        <f>IF(Contents!$B$2=2,"Taxes and levies","Налоги и сборы")</f>
        <v>Taxes and levies</v>
      </c>
      <c r="C103" s="53" t="str">
        <f>IF(Contents!$B$2=2,"RR th.","тыс. руб.")</f>
        <v>RR th.</v>
      </c>
      <c r="D103" s="46" t="s">
        <v>185</v>
      </c>
      <c r="E103" s="46" t="s">
        <v>185</v>
      </c>
      <c r="F103" s="46" t="s">
        <v>185</v>
      </c>
      <c r="G103" s="925">
        <v>194500000</v>
      </c>
      <c r="H103" s="29"/>
      <c r="I103" s="56" t="str">
        <f>IF(Contents!$B$2=2,"BR 29.1","БР 29.1")</f>
        <v>BR 29.1</v>
      </c>
      <c r="K103" s="558">
        <v>3</v>
      </c>
      <c r="M103" s="22"/>
    </row>
    <row r="104" spans="2:13">
      <c r="B104" s="87" t="str">
        <f>IF(Contents!$B$2=2,"Insurance premiums","Страховые взносы")</f>
        <v>Insurance premiums</v>
      </c>
      <c r="C104" s="53" t="str">
        <f>IF(Contents!$B$2=2,"RR th.","тыс. руб.")</f>
        <v>RR th.</v>
      </c>
      <c r="D104" s="46" t="s">
        <v>185</v>
      </c>
      <c r="E104" s="46" t="s">
        <v>185</v>
      </c>
      <c r="F104" s="46" t="s">
        <v>185</v>
      </c>
      <c r="G104" s="925" t="s">
        <v>185</v>
      </c>
      <c r="H104" s="29"/>
      <c r="I104" s="56" t="str">
        <f>IF(Contents!$B$2=2,"BR 29.2","БР 29.2")</f>
        <v>BR 29.2</v>
      </c>
      <c r="K104" s="558"/>
      <c r="M104" s="22"/>
    </row>
    <row r="105" spans="2:13">
      <c r="B105" s="87" t="str">
        <f>IF(Contents!$B$2=2,"Other mandatory payments","Иные обязательные платежи")</f>
        <v>Other mandatory payments</v>
      </c>
      <c r="C105" s="53" t="str">
        <f>IF(Contents!$B$2=2,"RR th.","тыс. руб.")</f>
        <v>RR th.</v>
      </c>
      <c r="D105" s="46" t="s">
        <v>185</v>
      </c>
      <c r="E105" s="46" t="s">
        <v>185</v>
      </c>
      <c r="F105" s="46" t="s">
        <v>185</v>
      </c>
      <c r="G105" s="925" t="s">
        <v>185</v>
      </c>
      <c r="H105" s="29"/>
      <c r="I105" s="56" t="str">
        <f>IF(Contents!$B$2=2,"BR 29.3","БР 29.3")</f>
        <v>BR 29.3</v>
      </c>
      <c r="K105" s="558"/>
      <c r="M105" s="22"/>
    </row>
    <row r="106" spans="2:13">
      <c r="B106" s="87"/>
      <c r="C106" s="53"/>
      <c r="D106" s="46"/>
      <c r="E106" s="46"/>
      <c r="F106" s="58"/>
      <c r="G106" s="98"/>
      <c r="H106" s="29"/>
      <c r="I106" s="56"/>
      <c r="K106" s="558"/>
      <c r="M106" s="22"/>
    </row>
    <row r="107" spans="2:13">
      <c r="B107" s="52" t="str">
        <f>IF(Contents!$B$2=2,"Amount of mandatory payments paid (excluding fines, penalties)","Сумма уплаченных обязательных платежей (за исключением штрафов, пени)")</f>
        <v>Amount of mandatory payments paid (excluding fines, penalties)</v>
      </c>
      <c r="C107" s="53" t="str">
        <f>IF(Contents!$B$2=2,"RR th.","тыс. руб.")</f>
        <v>RR th.</v>
      </c>
      <c r="D107" s="46" t="s">
        <v>185</v>
      </c>
      <c r="E107" s="46" t="s">
        <v>185</v>
      </c>
      <c r="F107" s="46" t="s">
        <v>185</v>
      </c>
      <c r="G107" s="104" t="s">
        <v>185</v>
      </c>
      <c r="H107" s="29"/>
      <c r="I107" s="56" t="str">
        <f>IF(Contents!$B$2=2,"BR 30","БР 30")</f>
        <v>BR 30</v>
      </c>
      <c r="K107" s="558"/>
      <c r="M107" s="22"/>
    </row>
    <row r="108" spans="2:13">
      <c r="B108" s="87" t="str">
        <f>IF(Contents!$B$2=2,"Taxes and levies","Налоги и сборы")</f>
        <v>Taxes and levies</v>
      </c>
      <c r="C108" s="53" t="str">
        <f>IF(Contents!$B$2=2,"RR th.","тыс. руб.")</f>
        <v>RR th.</v>
      </c>
      <c r="D108" s="46" t="s">
        <v>185</v>
      </c>
      <c r="E108" s="46" t="s">
        <v>185</v>
      </c>
      <c r="F108" s="46">
        <v>222471000</v>
      </c>
      <c r="G108" s="104" t="s">
        <v>185</v>
      </c>
      <c r="H108" s="29"/>
      <c r="I108" s="56" t="str">
        <f>IF(Contents!$B$2=2,"BR 30.1","БР 30.1")</f>
        <v>BR 30.1</v>
      </c>
      <c r="K108" s="558">
        <v>3</v>
      </c>
      <c r="M108" s="22"/>
    </row>
    <row r="109" spans="2:13">
      <c r="B109" s="87" t="str">
        <f>IF(Contents!$B$2=2,"Insurance premiums","Страховые взносы")</f>
        <v>Insurance premiums</v>
      </c>
      <c r="C109" s="53" t="str">
        <f>IF(Contents!$B$2=2,"RR th.","тыс. руб.")</f>
        <v>RR th.</v>
      </c>
      <c r="D109" s="46" t="s">
        <v>185</v>
      </c>
      <c r="E109" s="46" t="s">
        <v>185</v>
      </c>
      <c r="F109" s="46" t="s">
        <v>185</v>
      </c>
      <c r="G109" s="104" t="s">
        <v>185</v>
      </c>
      <c r="H109" s="29"/>
      <c r="I109" s="56" t="str">
        <f>IF(Contents!$B$2=2,"BR 30.2","БР 30.2")</f>
        <v>BR 30.2</v>
      </c>
      <c r="K109" s="558"/>
      <c r="M109" s="22"/>
    </row>
    <row r="110" spans="2:13">
      <c r="B110" s="87" t="str">
        <f>IF(Contents!$B$2=2,"Other mandatory payments","Иные обязательные платежи")</f>
        <v>Other mandatory payments</v>
      </c>
      <c r="C110" s="53" t="str">
        <f>IF(Contents!$B$2=2,"RR th.","тыс. руб.")</f>
        <v>RR th.</v>
      </c>
      <c r="D110" s="46" t="s">
        <v>185</v>
      </c>
      <c r="E110" s="46" t="s">
        <v>185</v>
      </c>
      <c r="F110" s="46" t="s">
        <v>185</v>
      </c>
      <c r="G110" s="104" t="s">
        <v>185</v>
      </c>
      <c r="H110" s="29"/>
      <c r="I110" s="56" t="str">
        <f>IF(Contents!$B$2=2,"BR 30.3","БР 30.3")</f>
        <v>BR 30.3</v>
      </c>
      <c r="K110" s="558"/>
      <c r="M110" s="22"/>
    </row>
    <row r="111" spans="2:13">
      <c r="B111" s="87"/>
      <c r="C111" s="53"/>
      <c r="D111" s="46"/>
      <c r="E111" s="46"/>
      <c r="F111" s="58"/>
      <c r="G111" s="58"/>
      <c r="H111" s="29"/>
      <c r="I111" s="56"/>
      <c r="K111" s="558"/>
      <c r="M111" s="22"/>
    </row>
    <row r="112" spans="2:13">
      <c r="B112" s="25" t="str">
        <f>IF(Contents!$B$2=2,"Notes:","Примечания:")</f>
        <v>Notes:</v>
      </c>
      <c r="C112" s="53"/>
      <c r="D112" s="46"/>
      <c r="E112" s="46"/>
      <c r="F112" s="58"/>
      <c r="G112" s="58"/>
      <c r="H112" s="29"/>
      <c r="I112" s="56"/>
      <c r="K112" s="558"/>
      <c r="M112" s="22"/>
    </row>
    <row r="113" spans="2:18">
      <c r="B113" s="26" t="str">
        <f>IF(Contents!$B$2=2,C114, B114)</f>
        <v>Taxes and fees include taxes other than income tax, mineral extraction tax, property tax, other taxes. The value is based on the Disclosed Consolidated Financial Statements for 2025.</v>
      </c>
      <c r="D113" s="675"/>
      <c r="E113" s="675"/>
      <c r="F113" s="675"/>
      <c r="G113" s="675"/>
      <c r="H113" s="29"/>
      <c r="I113" s="39"/>
      <c r="K113" s="558"/>
      <c r="M113" s="22"/>
    </row>
    <row r="114" spans="2:18">
      <c r="B114" s="115" t="s">
        <v>238</v>
      </c>
      <c r="C114" s="115" t="s">
        <v>239</v>
      </c>
      <c r="D114" s="82"/>
      <c r="E114" s="82"/>
      <c r="F114" s="82"/>
      <c r="G114" s="675"/>
      <c r="H114" s="29"/>
      <c r="I114" s="39"/>
      <c r="K114" s="558"/>
      <c r="M114" s="22"/>
    </row>
    <row r="115" spans="2:18">
      <c r="B115" s="52" t="str">
        <f>IF(Contents!$B$2=2,Q115,P115)</f>
        <v>Amount of claims under lawsuits filed against the issuer as a defendant</v>
      </c>
      <c r="C115" s="53" t="str">
        <f>IF(Contents!$B$2=2,"RR th.","тыс. руб.")</f>
        <v>RR th.</v>
      </c>
      <c r="D115" s="800" t="s">
        <v>185</v>
      </c>
      <c r="E115" s="800" t="s">
        <v>185</v>
      </c>
      <c r="F115" s="800" t="s">
        <v>185</v>
      </c>
      <c r="G115" s="905">
        <v>0</v>
      </c>
      <c r="H115" s="29"/>
      <c r="I115" s="56" t="str">
        <f>IF(Contents!$B$2=2,"BR 31","БР 31")</f>
        <v>BR 31</v>
      </c>
      <c r="K115" s="558">
        <v>2</v>
      </c>
      <c r="M115" s="22"/>
      <c r="P115" s="117" t="s">
        <v>206</v>
      </c>
      <c r="Q115" s="117" t="s">
        <v>207</v>
      </c>
      <c r="R115" s="117"/>
    </row>
    <row r="116" spans="2:18" ht="36">
      <c r="B116" s="87" t="str">
        <f>IF(Contents!$B$2=2,Q116,P116)</f>
        <v>Under lawsuits against current or former members of the issuer’s management bodies</v>
      </c>
      <c r="C116" s="53" t="str">
        <f>IF(Contents!$B$2=2,"RR th.","тыс. руб.")</f>
        <v>RR th.</v>
      </c>
      <c r="D116" s="800" t="s">
        <v>185</v>
      </c>
      <c r="E116" s="800" t="s">
        <v>185</v>
      </c>
      <c r="F116" s="800" t="s">
        <v>185</v>
      </c>
      <c r="G116" s="905">
        <v>0</v>
      </c>
      <c r="H116" s="29"/>
      <c r="I116" s="56" t="str">
        <f>IF(Contents!$B$2=2,"BR 31.1","БР 31.1")</f>
        <v>BR 31.1</v>
      </c>
      <c r="K116" s="558"/>
      <c r="M116" s="22"/>
      <c r="P116" s="801" t="s">
        <v>203</v>
      </c>
      <c r="Q116" s="117" t="s">
        <v>208</v>
      </c>
      <c r="R116" s="117"/>
    </row>
    <row r="117" spans="2:18" ht="36">
      <c r="B117" s="87" t="str">
        <f>IF(Contents!$B$2=2,Q117,P117)</f>
        <v>Under lawsuits challenging transactions in accordance with Articles 1731 and 174 of the Civil Code of the Russian Federation</v>
      </c>
      <c r="C117" s="53" t="str">
        <f>IF(Contents!$B$2=2,"RR th.","тыс. руб.")</f>
        <v>RR th.</v>
      </c>
      <c r="D117" s="800" t="s">
        <v>185</v>
      </c>
      <c r="E117" s="800" t="s">
        <v>185</v>
      </c>
      <c r="F117" s="800" t="s">
        <v>185</v>
      </c>
      <c r="G117" s="905">
        <v>0</v>
      </c>
      <c r="H117" s="29"/>
      <c r="I117" s="56" t="str">
        <f>IF(Contents!$B$2=2,"BR 31.2","БР 31.2")</f>
        <v>BR 31.2</v>
      </c>
      <c r="K117" s="558"/>
      <c r="M117" s="22"/>
      <c r="P117" s="801" t="s">
        <v>204</v>
      </c>
      <c r="Q117" s="117" t="s">
        <v>209</v>
      </c>
      <c r="R117" s="117"/>
    </row>
    <row r="118" spans="2:18" ht="54">
      <c r="B118" s="87" t="str">
        <f>IF(Contents!$B$2=2,Q118,P118)</f>
        <v>Under lawsuits challenging resolutions of the issuer’s management bodies, as well as disputes involving the issuer in other lawsuits related to violation of corporate laws</v>
      </c>
      <c r="C118" s="53" t="str">
        <f>IF(Contents!$B$2=2,"RR th.","тыс. руб.")</f>
        <v>RR th.</v>
      </c>
      <c r="D118" s="800" t="s">
        <v>185</v>
      </c>
      <c r="E118" s="800" t="s">
        <v>185</v>
      </c>
      <c r="F118" s="800" t="s">
        <v>185</v>
      </c>
      <c r="G118" s="905">
        <v>0</v>
      </c>
      <c r="H118" s="29"/>
      <c r="I118" s="56" t="str">
        <f>IF(Contents!$B$2=2,"BR 31.3","БР 31.3")</f>
        <v>BR 31.3</v>
      </c>
      <c r="K118" s="558"/>
      <c r="M118" s="22"/>
      <c r="P118" s="801" t="s">
        <v>205</v>
      </c>
      <c r="Q118" s="117" t="s">
        <v>210</v>
      </c>
      <c r="R118" s="117"/>
    </row>
    <row r="119" spans="2:18">
      <c r="B119" s="52" t="str">
        <f>IF(Contents!$B$2=2,Q119,P119)</f>
        <v>Amount of satisfied claims under lawsuits involving the issuer as a defendant</v>
      </c>
      <c r="C119" s="53" t="str">
        <f>IF(Contents!$B$2=2,"RR th.","тыс. руб.")</f>
        <v>RR th.</v>
      </c>
      <c r="D119" s="800" t="s">
        <v>185</v>
      </c>
      <c r="E119" s="800" t="s">
        <v>185</v>
      </c>
      <c r="F119" s="800" t="s">
        <v>185</v>
      </c>
      <c r="G119" s="905">
        <v>0</v>
      </c>
      <c r="H119" s="29"/>
      <c r="I119" s="56" t="str">
        <f>IF(Contents!$B$2=2,"BR 32","БР 32")</f>
        <v>BR 32</v>
      </c>
      <c r="K119" s="558">
        <v>2</v>
      </c>
      <c r="M119" s="22"/>
      <c r="P119" s="117" t="s">
        <v>201</v>
      </c>
      <c r="Q119" s="117" t="s">
        <v>211</v>
      </c>
      <c r="R119" s="117"/>
    </row>
    <row r="120" spans="2:18" ht="36">
      <c r="B120" s="87" t="str">
        <f>IF(Contents!$B$2=2,Q120,P120)</f>
        <v>Under lawsuits against current or former members of the issuer’s management bodies</v>
      </c>
      <c r="C120" s="53" t="str">
        <f>IF(Contents!$B$2=2,"RR th.","тыс. руб.")</f>
        <v>RR th.</v>
      </c>
      <c r="D120" s="800" t="s">
        <v>185</v>
      </c>
      <c r="E120" s="800" t="s">
        <v>185</v>
      </c>
      <c r="F120" s="800" t="s">
        <v>185</v>
      </c>
      <c r="G120" s="905">
        <v>0</v>
      </c>
      <c r="H120" s="29"/>
      <c r="I120" s="56" t="str">
        <f>IF(Contents!$B$2=2,"BR 32.1","БР 32.1")</f>
        <v>BR 32.1</v>
      </c>
      <c r="K120" s="558"/>
      <c r="M120" s="22"/>
      <c r="P120" s="801" t="s">
        <v>203</v>
      </c>
      <c r="Q120" s="117" t="s">
        <v>208</v>
      </c>
      <c r="R120" s="117"/>
    </row>
    <row r="121" spans="2:18" ht="36">
      <c r="B121" s="87" t="str">
        <f>IF(Contents!$B$2=2,Q121,P121)</f>
        <v>Under lawsuits challenging transactions in accordance with Articles 1731 and 174 of the Civil Code of the Russian Federation</v>
      </c>
      <c r="C121" s="53" t="str">
        <f>IF(Contents!$B$2=2,"RR th.","тыс. руб.")</f>
        <v>RR th.</v>
      </c>
      <c r="D121" s="800" t="s">
        <v>185</v>
      </c>
      <c r="E121" s="800" t="s">
        <v>185</v>
      </c>
      <c r="F121" s="800" t="s">
        <v>185</v>
      </c>
      <c r="G121" s="905">
        <v>0</v>
      </c>
      <c r="H121" s="29"/>
      <c r="I121" s="56" t="str">
        <f>IF(Contents!$B$2=2,"BR 32.2","БР 32.2")</f>
        <v>BR 32.2</v>
      </c>
      <c r="K121" s="558"/>
      <c r="M121" s="22"/>
      <c r="P121" s="801" t="s">
        <v>204</v>
      </c>
      <c r="Q121" s="117" t="s">
        <v>209</v>
      </c>
      <c r="R121" s="117"/>
    </row>
    <row r="122" spans="2:18" ht="54">
      <c r="B122" s="87" t="str">
        <f>IF(Contents!$B$2=2,Q122,P122)</f>
        <v>Under lawsuits challenging resolutions of the issuer’s management bodies, as well as disputes involving the issuer in other lawsuits related to violation of corporate laws</v>
      </c>
      <c r="C122" s="53" t="str">
        <f>IF(Contents!$B$2=2,"RR th.","тыс. руб.")</f>
        <v>RR th.</v>
      </c>
      <c r="D122" s="800" t="s">
        <v>185</v>
      </c>
      <c r="E122" s="800" t="s">
        <v>185</v>
      </c>
      <c r="F122" s="800" t="s">
        <v>185</v>
      </c>
      <c r="G122" s="905">
        <v>0</v>
      </c>
      <c r="H122" s="29"/>
      <c r="I122" s="56" t="str">
        <f>IF(Contents!$B$2=2,"BR 32.3","БР 32.3")</f>
        <v>BR 32.3</v>
      </c>
      <c r="K122" s="558"/>
      <c r="M122" s="22"/>
      <c r="P122" s="801" t="s">
        <v>205</v>
      </c>
      <c r="Q122" s="117" t="s">
        <v>210</v>
      </c>
      <c r="R122" s="117"/>
    </row>
    <row r="123" spans="2:18" ht="54">
      <c r="B123" s="52" t="str">
        <f>IF(Contents!$B$2=2,Q123,P123)</f>
        <v>Amount of fines imposed on the organisation and its officers for violation of the laws of the Russian Federation on joint-stock companies and securities, and corporate relations in joint-stock companies</v>
      </c>
      <c r="C123" s="53" t="str">
        <f>IF(Contents!$B$2=2,"RR th.","тыс. руб.")</f>
        <v>RR th.</v>
      </c>
      <c r="D123" s="800" t="s">
        <v>185</v>
      </c>
      <c r="E123" s="800" t="s">
        <v>185</v>
      </c>
      <c r="F123" s="800" t="s">
        <v>185</v>
      </c>
      <c r="G123" s="905" t="s">
        <v>185</v>
      </c>
      <c r="H123" s="29"/>
      <c r="I123" s="56" t="str">
        <f>IF(Contents!$B$2=2,"BR 33","БР 33")</f>
        <v>BR 33</v>
      </c>
      <c r="K123" s="558">
        <v>2</v>
      </c>
      <c r="M123" s="22"/>
      <c r="P123" s="117" t="s">
        <v>202</v>
      </c>
      <c r="Q123" s="117" t="s">
        <v>212</v>
      </c>
      <c r="R123" s="117"/>
    </row>
    <row r="124" spans="2:18">
      <c r="B124" s="30"/>
      <c r="C124" s="31"/>
      <c r="D124" s="748"/>
      <c r="E124" s="748"/>
      <c r="F124" s="748"/>
      <c r="G124" s="748"/>
      <c r="H124" s="32"/>
      <c r="I124" s="592"/>
      <c r="J124" s="592"/>
      <c r="K124" s="592"/>
      <c r="L124" s="592"/>
      <c r="M124" s="592"/>
      <c r="N124" s="592"/>
      <c r="O124" s="32"/>
    </row>
    <row r="125" spans="2:18">
      <c r="B125" s="33"/>
      <c r="M125" s="589"/>
      <c r="N125" s="589"/>
    </row>
    <row r="126" spans="2:18">
      <c r="B126" s="141" t="str">
        <f>IF(Contents!$B$2=2,"For more information, see the Sustainable Development Reports for 2020-2025.","Для получения дополнительной информации см. Отчеты об устойчивом развитии за 2020-2025 гг.")</f>
        <v>For more information, see the Sustainable Development Reports for 2020-2025.</v>
      </c>
      <c r="M126" s="589"/>
      <c r="N126" s="589"/>
    </row>
    <row r="128" spans="2:18">
      <c r="B128" s="447" t="str">
        <f>IF(Contents!$B$2=2,"The XBRL taxonomy of the Bank of Russia was developed in order to prepare information in the field of SD and its disclosure by issuers of equity securities whose securities are included in the quotation lists of the first or second levels","Таксономия XBRL Банка России разработана в целях подготовки информации в области УР и ее раскрытия эмитентами эмиссионных ценных бумаг, ценные бумаги которых включены в котировальные списки первого или второго уровней")</f>
        <v>The XBRL taxonomy of the Bank of Russia was developed in order to prepare information in the field of SD and its disclosure by issuers of equity securities whose securities are included in the quotation lists of the first or second levels</v>
      </c>
    </row>
  </sheetData>
  <hyperlinks>
    <hyperlink ref="B1" location="Contents!A1" display="← Back to Contents"/>
    <hyperlink ref="B126" r:id="rId1" display="https://www.novatek.ru/en/development/archive/"/>
    <hyperlink ref="B3" location="'Таксономия Банка России'!C8" display="'Таксономия Банка России'!C8"/>
    <hyperlink ref="B4" location="'Таксономия Банка России'!C85" display="'Таксономия Банка России'!C85"/>
    <hyperlink ref="C3" location="'Таксономия Банка России'!C104" display="'Таксономия Банка России'!C10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42EC16B9C2B794478ACA337FAA55F7CF" ma:contentTypeVersion="" ma:contentTypeDescription="Создание документа." ma:contentTypeScope="" ma:versionID="74d7a7c647c63d4daf316f5678878614">
  <xsd:schema xmlns:xsd="http://www.w3.org/2001/XMLSchema" xmlns:xs="http://www.w3.org/2001/XMLSchema" xmlns:p="http://schemas.microsoft.com/office/2006/metadata/properties" targetNamespace="http://schemas.microsoft.com/office/2006/metadata/properties" ma:root="true" ma:fieldsID="a83f6b074ceb7219e5fa2673c690809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F89AD5-A5A4-439D-A319-E2CE5065F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AFD788D-140E-4D19-A216-C033E3F025D0}">
  <ds:schemaRefs>
    <ds:schemaRef ds:uri="http://schemas.microsoft.com/sharepoint/v3/contenttype/forms"/>
  </ds:schemaRefs>
</ds:datastoreItem>
</file>

<file path=customXml/itemProps3.xml><?xml version="1.0" encoding="utf-8"?>
<ds:datastoreItem xmlns:ds="http://schemas.openxmlformats.org/officeDocument/2006/customXml" ds:itemID="{90D55175-F507-4B70-BC5F-D4F9B10C1B2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Contents</vt:lpstr>
      <vt:lpstr>Climate</vt:lpstr>
      <vt:lpstr>Environment</vt:lpstr>
      <vt:lpstr>Personnel</vt:lpstr>
      <vt:lpstr>Occupational health and safety</vt:lpstr>
      <vt:lpstr>Local communities</vt:lpstr>
      <vt:lpstr>Corporate governance</vt:lpstr>
      <vt:lpstr>СОКБ</vt:lpstr>
      <vt:lpstr>Таксономия Банка России</vt:lpstr>
      <vt:lpstr>Corporate documents</vt:lpstr>
      <vt:lpstr>Climate!_ftn1</vt:lpstr>
      <vt:lpstr>Climate!_ftnref1</vt:lpstr>
      <vt:lpstr>Personnel!_Hlk220355198</vt:lpstr>
      <vt:lpstr>Climate!_Hlk222494672</vt:lpstr>
      <vt:lpstr>Personnel!_Ref221003855</vt:lpstr>
      <vt:lpstr>Personnel!_Ref221003990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Леонова Глафира Михайловна</dc:creator>
  <cp:lastModifiedBy>Семилетопуло Елизавета Константиновна</cp:lastModifiedBy>
  <cp:lastPrinted>2020-08-25T10:54:56Z</cp:lastPrinted>
  <dcterms:created xsi:type="dcterms:W3CDTF">2020-02-27T14:09:02Z</dcterms:created>
  <dcterms:modified xsi:type="dcterms:W3CDTF">2026-04-27T10:56:27Z</dcterms:modified>
</cp:coreProperties>
</file>