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O:\Управление по связям с инвесторами\_______REPORTING\Sustainability Report\2025\_на сайт\"/>
    </mc:Choice>
  </mc:AlternateContent>
  <bookViews>
    <workbookView xWindow="0" yWindow="600" windowWidth="28800" windowHeight="16260" tabRatio="875"/>
  </bookViews>
  <sheets>
    <sheet name="Contents" sheetId="7" r:id="rId1"/>
    <sheet name="Climate" sheetId="25" r:id="rId2"/>
    <sheet name="Environment" sheetId="26" r:id="rId3"/>
    <sheet name="Personnel" sheetId="27" r:id="rId4"/>
    <sheet name="Occupational health and safety" sheetId="28" r:id="rId5"/>
    <sheet name="Local communities" sheetId="31" r:id="rId6"/>
    <sheet name="Corporate governance" sheetId="32" r:id="rId7"/>
    <sheet name="СОКБ" sheetId="33" r:id="rId8"/>
    <sheet name="Таксономия Банка России" sheetId="35" r:id="rId9"/>
    <sheet name="Corporate documents" sheetId="24" r:id="rId10"/>
  </sheets>
  <externalReferences>
    <externalReference r:id="rId11"/>
  </externalReferences>
  <definedNames>
    <definedName name="_ftn1" localSheetId="1">Climate!$O$95</definedName>
    <definedName name="_ftnref1" localSheetId="1">Climate!$O$92</definedName>
    <definedName name="_Hlk220355198" localSheetId="3">Personnel!$O$313</definedName>
    <definedName name="_Hlk222494672" localSheetId="1">Climate!$O$110</definedName>
    <definedName name="_Ref221003855" localSheetId="3">Personnel!$O$345</definedName>
    <definedName name="_Ref221003990" localSheetId="3">Personnel!$O$341</definedName>
    <definedName name="_xlnm._FilterDatabase" localSheetId="1" hidden="1">Climate!$Q$7:$U$7</definedName>
    <definedName name="_xlnm._FilterDatabase" localSheetId="7" hidden="1">СОКБ!$I$7:$I$7</definedName>
    <definedName name="_xlnm._FilterDatabase" localSheetId="8" hidden="1">'Таксономия Банка России'!$B$7:$IG$40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40" i="33" l="1"/>
  <c r="B195" i="33"/>
  <c r="B287" i="33"/>
  <c r="R7" i="31" l="1"/>
  <c r="R7" i="28"/>
  <c r="R7" i="25"/>
  <c r="R7" i="26"/>
  <c r="R7" i="27"/>
  <c r="B278" i="33" l="1"/>
  <c r="B277" i="33"/>
  <c r="B276" i="33"/>
  <c r="B262" i="33"/>
  <c r="C82" i="33"/>
  <c r="C81" i="33"/>
  <c r="C80" i="33"/>
  <c r="B263" i="33"/>
  <c r="C80" i="35"/>
  <c r="C61" i="35"/>
  <c r="C62" i="35"/>
  <c r="B142" i="33"/>
  <c r="B80" i="28"/>
  <c r="B79" i="28"/>
  <c r="B80" i="35"/>
  <c r="B79" i="35"/>
  <c r="I100" i="33" l="1"/>
  <c r="B100" i="33"/>
  <c r="B128" i="35"/>
  <c r="B360" i="33"/>
  <c r="P69" i="32"/>
  <c r="P67" i="32"/>
  <c r="P66" i="32"/>
  <c r="P65" i="32"/>
  <c r="P64" i="32"/>
  <c r="P62" i="32"/>
  <c r="P59" i="32"/>
  <c r="P44" i="32"/>
  <c r="P40" i="32"/>
  <c r="P36" i="32"/>
  <c r="P32" i="32"/>
  <c r="P28" i="32"/>
  <c r="P21" i="32"/>
  <c r="P20" i="32"/>
  <c r="P14" i="32"/>
  <c r="P13" i="32"/>
  <c r="P12" i="32"/>
  <c r="P10" i="32"/>
  <c r="P7" i="32"/>
  <c r="P36" i="31"/>
  <c r="P35" i="31"/>
  <c r="P33" i="31"/>
  <c r="P32" i="31"/>
  <c r="P31" i="31"/>
  <c r="P30" i="31"/>
  <c r="P29" i="31"/>
  <c r="P28" i="31"/>
  <c r="P26" i="31"/>
  <c r="P8" i="31"/>
  <c r="P7" i="31"/>
  <c r="P77" i="28"/>
  <c r="P76" i="28"/>
  <c r="P75" i="28"/>
  <c r="P74" i="28"/>
  <c r="P67" i="28"/>
  <c r="P64" i="28"/>
  <c r="P63" i="28"/>
  <c r="P62" i="28"/>
  <c r="P61" i="28"/>
  <c r="P55" i="28"/>
  <c r="P54" i="28"/>
  <c r="P53" i="28"/>
  <c r="P52" i="28"/>
  <c r="P51" i="28"/>
  <c r="P50" i="28"/>
  <c r="P49" i="28"/>
  <c r="P38" i="28"/>
  <c r="P37" i="28"/>
  <c r="P36" i="28"/>
  <c r="P35" i="28"/>
  <c r="P34" i="28"/>
  <c r="P20" i="28"/>
  <c r="P19" i="28"/>
  <c r="P18" i="28"/>
  <c r="P17" i="28"/>
  <c r="P16" i="28"/>
  <c r="P14" i="28"/>
  <c r="P13" i="28"/>
  <c r="P12" i="28"/>
  <c r="P11" i="28"/>
  <c r="P7" i="28"/>
  <c r="P401" i="27"/>
  <c r="P400" i="27"/>
  <c r="P399" i="27"/>
  <c r="P388" i="27"/>
  <c r="P387" i="27"/>
  <c r="P386" i="27"/>
  <c r="P384" i="27"/>
  <c r="P383" i="27"/>
  <c r="P381" i="27"/>
  <c r="P376" i="27"/>
  <c r="P372" i="27"/>
  <c r="P356" i="27"/>
  <c r="P355" i="27"/>
  <c r="P354" i="27"/>
  <c r="P353" i="27"/>
  <c r="P352" i="27"/>
  <c r="P351" i="27"/>
  <c r="P350" i="27"/>
  <c r="P349" i="27"/>
  <c r="P348" i="27"/>
  <c r="P347" i="27"/>
  <c r="P346" i="27"/>
  <c r="P345" i="27"/>
  <c r="P343" i="27"/>
  <c r="P338" i="27"/>
  <c r="P337" i="27"/>
  <c r="P336" i="27"/>
  <c r="P335" i="27"/>
  <c r="P334" i="27"/>
  <c r="P333" i="27"/>
  <c r="P332" i="27"/>
  <c r="P319" i="27"/>
  <c r="P318" i="27"/>
  <c r="P317" i="27"/>
  <c r="P311" i="27"/>
  <c r="P306" i="27"/>
  <c r="P305" i="27"/>
  <c r="P304" i="27"/>
  <c r="P303" i="27"/>
  <c r="P302" i="27"/>
  <c r="P301" i="27"/>
  <c r="P300" i="27"/>
  <c r="P299" i="27"/>
  <c r="P298" i="27"/>
  <c r="P297" i="27"/>
  <c r="P296" i="27"/>
  <c r="P295" i="27"/>
  <c r="P294" i="27"/>
  <c r="P293" i="27"/>
  <c r="P292" i="27"/>
  <c r="P291" i="27"/>
  <c r="P290" i="27"/>
  <c r="P289" i="27"/>
  <c r="P288" i="27"/>
  <c r="P287" i="27"/>
  <c r="P286" i="27"/>
  <c r="P285" i="27"/>
  <c r="P284" i="27"/>
  <c r="P283" i="27"/>
  <c r="P282" i="27"/>
  <c r="P281" i="27"/>
  <c r="P280" i="27"/>
  <c r="P279" i="27"/>
  <c r="P278" i="27"/>
  <c r="P277" i="27"/>
  <c r="P276" i="27"/>
  <c r="P274" i="27"/>
  <c r="P273" i="27"/>
  <c r="P272" i="27"/>
  <c r="P270" i="27"/>
  <c r="P269" i="27"/>
  <c r="P267" i="27"/>
  <c r="P262" i="27"/>
  <c r="P261" i="27"/>
  <c r="P260" i="27"/>
  <c r="P259" i="27"/>
  <c r="P258" i="27"/>
  <c r="P257" i="27"/>
  <c r="P256" i="27"/>
  <c r="P255" i="27"/>
  <c r="P254" i="27"/>
  <c r="P253" i="27"/>
  <c r="P252" i="27"/>
  <c r="P251" i="27"/>
  <c r="P250" i="27"/>
  <c r="P249" i="27"/>
  <c r="P248" i="27"/>
  <c r="P247" i="27"/>
  <c r="P246" i="27"/>
  <c r="P245" i="27"/>
  <c r="P244" i="27"/>
  <c r="P243" i="27"/>
  <c r="P242" i="27"/>
  <c r="P241" i="27"/>
  <c r="P240" i="27"/>
  <c r="P239" i="27"/>
  <c r="P238" i="27"/>
  <c r="P236" i="27"/>
  <c r="P235" i="27"/>
  <c r="P234" i="27"/>
  <c r="P233" i="27"/>
  <c r="P230" i="27"/>
  <c r="P229" i="27"/>
  <c r="P227" i="27"/>
  <c r="P220" i="27"/>
  <c r="P219" i="27"/>
  <c r="P218" i="27"/>
  <c r="P217" i="27"/>
  <c r="P216" i="27"/>
  <c r="P215" i="27"/>
  <c r="P206" i="27"/>
  <c r="P205" i="27"/>
  <c r="P204" i="27"/>
  <c r="P202" i="27"/>
  <c r="P201" i="27"/>
  <c r="P200" i="27"/>
  <c r="P195" i="27"/>
  <c r="P194" i="27"/>
  <c r="P193" i="27"/>
  <c r="P191" i="27"/>
  <c r="P190" i="27"/>
  <c r="P189" i="27"/>
  <c r="P186" i="27"/>
  <c r="P185" i="27"/>
  <c r="P184" i="27"/>
  <c r="P183" i="27"/>
  <c r="P182" i="27"/>
  <c r="P181" i="27"/>
  <c r="P180" i="27"/>
  <c r="P179" i="27"/>
  <c r="P178" i="27"/>
  <c r="P177" i="27"/>
  <c r="P176" i="27"/>
  <c r="P175" i="27"/>
  <c r="P174" i="27"/>
  <c r="P173" i="27"/>
  <c r="P172" i="27"/>
  <c r="P171" i="27"/>
  <c r="P170" i="27"/>
  <c r="P169" i="27"/>
  <c r="P168" i="27"/>
  <c r="P167" i="27"/>
  <c r="P166" i="27"/>
  <c r="P165" i="27"/>
  <c r="P164" i="27"/>
  <c r="P163" i="27"/>
  <c r="P162" i="27"/>
  <c r="P161" i="27"/>
  <c r="P160" i="27"/>
  <c r="P159" i="27"/>
  <c r="P158" i="27"/>
  <c r="P157" i="27"/>
  <c r="P156" i="27"/>
  <c r="P155" i="27"/>
  <c r="P153" i="27"/>
  <c r="P152" i="27"/>
  <c r="P150" i="27"/>
  <c r="P148" i="27"/>
  <c r="P147" i="27"/>
  <c r="P146" i="27"/>
  <c r="P145" i="27"/>
  <c r="P144" i="27"/>
  <c r="P143" i="27"/>
  <c r="P142" i="27"/>
  <c r="P141" i="27"/>
  <c r="P140" i="27"/>
  <c r="P139" i="27"/>
  <c r="P138" i="27"/>
  <c r="P137" i="27"/>
  <c r="P136" i="27"/>
  <c r="P135" i="27"/>
  <c r="P134" i="27"/>
  <c r="P133" i="27"/>
  <c r="P132" i="27"/>
  <c r="P131" i="27"/>
  <c r="P130" i="27"/>
  <c r="P129" i="27"/>
  <c r="P128" i="27"/>
  <c r="P127" i="27"/>
  <c r="P126" i="27"/>
  <c r="P125" i="27"/>
  <c r="P124" i="27"/>
  <c r="P123" i="27"/>
  <c r="P122" i="27"/>
  <c r="P121" i="27"/>
  <c r="P120" i="27"/>
  <c r="P119" i="27"/>
  <c r="P118" i="27"/>
  <c r="P117" i="27"/>
  <c r="P115" i="27"/>
  <c r="P114" i="27"/>
  <c r="P112" i="27"/>
  <c r="P68" i="27"/>
  <c r="P67" i="27"/>
  <c r="P66" i="27"/>
  <c r="P65" i="27"/>
  <c r="P64" i="27"/>
  <c r="P63" i="27"/>
  <c r="P61" i="27"/>
  <c r="P60" i="27"/>
  <c r="P59" i="27"/>
  <c r="P58" i="27"/>
  <c r="P57" i="27"/>
  <c r="P56" i="27"/>
  <c r="P55" i="27"/>
  <c r="P54" i="27"/>
  <c r="P53" i="27"/>
  <c r="P52" i="27"/>
  <c r="P51" i="27"/>
  <c r="P50" i="27"/>
  <c r="P49" i="27"/>
  <c r="P48" i="27"/>
  <c r="P47" i="27"/>
  <c r="P46" i="27"/>
  <c r="P45" i="27"/>
  <c r="P44" i="27"/>
  <c r="P43" i="27"/>
  <c r="P42" i="27"/>
  <c r="P41" i="27"/>
  <c r="P40" i="27"/>
  <c r="P39" i="27"/>
  <c r="P38" i="27"/>
  <c r="P37" i="27"/>
  <c r="P36" i="27"/>
  <c r="P35" i="27"/>
  <c r="P34" i="27"/>
  <c r="P33" i="27"/>
  <c r="P32" i="27"/>
  <c r="P31" i="27"/>
  <c r="P30" i="27"/>
  <c r="P28" i="27"/>
  <c r="P27" i="27"/>
  <c r="P26" i="27"/>
  <c r="P25" i="27"/>
  <c r="P24" i="27"/>
  <c r="P23" i="27"/>
  <c r="P21" i="27"/>
  <c r="P20" i="27"/>
  <c r="P19" i="27"/>
  <c r="P18" i="27"/>
  <c r="P17" i="27"/>
  <c r="P16" i="27"/>
  <c r="P14" i="27"/>
  <c r="P13" i="27"/>
  <c r="P12" i="27"/>
  <c r="P11" i="27"/>
  <c r="P9" i="27"/>
  <c r="P7" i="27"/>
  <c r="P242" i="26"/>
  <c r="P241" i="26"/>
  <c r="P240" i="26"/>
  <c r="P236" i="26"/>
  <c r="P233" i="26"/>
  <c r="P232" i="26"/>
  <c r="P231" i="26"/>
  <c r="P228" i="26"/>
  <c r="P225" i="26"/>
  <c r="P224" i="26"/>
  <c r="P223" i="26"/>
  <c r="P222" i="26"/>
  <c r="P220" i="26"/>
  <c r="P219" i="26"/>
  <c r="P217" i="26"/>
  <c r="P214" i="26"/>
  <c r="P212" i="26"/>
  <c r="P211" i="26"/>
  <c r="P210" i="26"/>
  <c r="P209" i="26"/>
  <c r="P207" i="26"/>
  <c r="P206" i="26"/>
  <c r="P205" i="26"/>
  <c r="P204" i="26"/>
  <c r="P203" i="26"/>
  <c r="P202" i="26"/>
  <c r="P200" i="26"/>
  <c r="P199" i="26"/>
  <c r="P197" i="26"/>
  <c r="P184" i="26"/>
  <c r="P182" i="26"/>
  <c r="P180" i="26"/>
  <c r="P179" i="26"/>
  <c r="P178" i="26"/>
  <c r="P177" i="26"/>
  <c r="P175" i="26"/>
  <c r="P174" i="26"/>
  <c r="P173" i="26"/>
  <c r="P172" i="26"/>
  <c r="P169" i="26"/>
  <c r="P167" i="26"/>
  <c r="P159" i="26"/>
  <c r="P158" i="26"/>
  <c r="P157" i="26"/>
  <c r="P156" i="26"/>
  <c r="P155" i="26"/>
  <c r="P154" i="26"/>
  <c r="P153" i="26"/>
  <c r="P152" i="26"/>
  <c r="P151" i="26"/>
  <c r="P150" i="26"/>
  <c r="P149" i="26"/>
  <c r="P148" i="26"/>
  <c r="P147" i="26"/>
  <c r="P146" i="26"/>
  <c r="P145" i="26"/>
  <c r="P144" i="26"/>
  <c r="P143" i="26"/>
  <c r="P142" i="26"/>
  <c r="P141" i="26"/>
  <c r="P140" i="26"/>
  <c r="P139" i="26"/>
  <c r="P138" i="26"/>
  <c r="P137" i="26"/>
  <c r="P136" i="26"/>
  <c r="P135" i="26"/>
  <c r="P134" i="26"/>
  <c r="P133" i="26"/>
  <c r="P132" i="26"/>
  <c r="P131" i="26"/>
  <c r="P130" i="26"/>
  <c r="P129" i="26"/>
  <c r="P125" i="26"/>
  <c r="P117" i="26"/>
  <c r="P116" i="26"/>
  <c r="P115" i="26"/>
  <c r="P114" i="26"/>
  <c r="P113" i="26"/>
  <c r="P112" i="26"/>
  <c r="P111" i="26"/>
  <c r="P109" i="26"/>
  <c r="P91" i="26"/>
  <c r="P90" i="26"/>
  <c r="P89" i="26"/>
  <c r="P88" i="26"/>
  <c r="P87" i="26"/>
  <c r="P86" i="26"/>
  <c r="P85" i="26"/>
  <c r="P84" i="26"/>
  <c r="P83" i="26"/>
  <c r="P82" i="26"/>
  <c r="P80" i="26"/>
  <c r="P79" i="26"/>
  <c r="P71" i="26"/>
  <c r="P70" i="26"/>
  <c r="P69" i="26"/>
  <c r="P67" i="26"/>
  <c r="P61" i="26"/>
  <c r="P60" i="26"/>
  <c r="P59" i="26"/>
  <c r="P58" i="26"/>
  <c r="P57" i="26"/>
  <c r="P55" i="26"/>
  <c r="P46" i="26"/>
  <c r="P43" i="26"/>
  <c r="P42" i="26"/>
  <c r="P41" i="26"/>
  <c r="P40" i="26"/>
  <c r="P39" i="26"/>
  <c r="P38" i="26"/>
  <c r="P37" i="26"/>
  <c r="P36" i="26"/>
  <c r="P35" i="26"/>
  <c r="P33" i="26"/>
  <c r="P24" i="26"/>
  <c r="P23" i="26"/>
  <c r="P22" i="26"/>
  <c r="P21" i="26"/>
  <c r="P12" i="26"/>
  <c r="P10" i="26"/>
  <c r="P7" i="26"/>
  <c r="P199" i="25"/>
  <c r="P198" i="25"/>
  <c r="P197" i="25"/>
  <c r="P195" i="25"/>
  <c r="P190" i="25"/>
  <c r="P189" i="25"/>
  <c r="P188" i="25"/>
  <c r="P166" i="25"/>
  <c r="P165" i="25"/>
  <c r="P164" i="25"/>
  <c r="P163" i="25"/>
  <c r="P149" i="25"/>
  <c r="P148" i="25"/>
  <c r="P147" i="25"/>
  <c r="P146" i="25"/>
  <c r="P145" i="25"/>
  <c r="P144" i="25"/>
  <c r="P143" i="25"/>
  <c r="P142" i="25"/>
  <c r="P141" i="25"/>
  <c r="P140" i="25"/>
  <c r="P139" i="25"/>
  <c r="P131" i="25"/>
  <c r="P130" i="25"/>
  <c r="P129" i="25"/>
  <c r="P128" i="25"/>
  <c r="P127" i="25"/>
  <c r="P126" i="25"/>
  <c r="P125" i="25"/>
  <c r="P121" i="25"/>
  <c r="P120" i="25"/>
  <c r="P119" i="25"/>
  <c r="P118" i="25"/>
  <c r="P116" i="25"/>
  <c r="P110" i="25"/>
  <c r="P109" i="25"/>
  <c r="P103" i="25"/>
  <c r="P102" i="25"/>
  <c r="P101" i="25"/>
  <c r="P100" i="25"/>
  <c r="P99" i="25"/>
  <c r="P98" i="25"/>
  <c r="P97" i="25"/>
  <c r="P96" i="25"/>
  <c r="P95" i="25"/>
  <c r="P94" i="25"/>
  <c r="P93" i="25"/>
  <c r="P92" i="25"/>
  <c r="P90" i="25"/>
  <c r="P72" i="25"/>
  <c r="P65" i="25"/>
  <c r="P58" i="25"/>
  <c r="P56" i="25"/>
  <c r="P52" i="25"/>
  <c r="P51" i="25"/>
  <c r="P50" i="25"/>
  <c r="P47" i="25"/>
  <c r="P41" i="25"/>
  <c r="P40" i="25"/>
  <c r="P39" i="25"/>
  <c r="P37" i="25"/>
  <c r="P33" i="25"/>
  <c r="P31" i="25"/>
  <c r="P30" i="25"/>
  <c r="P29" i="25"/>
  <c r="P28" i="25"/>
  <c r="P26" i="25"/>
  <c r="P23" i="25"/>
  <c r="P22" i="25"/>
  <c r="P21" i="25"/>
  <c r="P20" i="25"/>
  <c r="P18" i="25"/>
  <c r="P17" i="25"/>
  <c r="P16" i="25"/>
  <c r="P15" i="25"/>
  <c r="P13" i="25"/>
  <c r="P12" i="25"/>
  <c r="P11" i="25"/>
  <c r="P9" i="25"/>
  <c r="P7" i="25"/>
  <c r="I206" i="33" l="1"/>
  <c r="I207" i="33"/>
  <c r="I208" i="33"/>
  <c r="I205" i="33"/>
  <c r="I116" i="33"/>
  <c r="B45" i="33"/>
  <c r="I210" i="33" l="1"/>
  <c r="B55" i="25" l="1"/>
  <c r="C208" i="33" l="1"/>
  <c r="C207" i="33"/>
  <c r="C206" i="33"/>
  <c r="C205" i="33"/>
  <c r="B208" i="33"/>
  <c r="B207" i="33"/>
  <c r="B206" i="33"/>
  <c r="B205" i="33"/>
  <c r="B365" i="27" l="1"/>
  <c r="B340" i="27"/>
  <c r="C70" i="26" l="1"/>
  <c r="C71" i="26"/>
  <c r="B28" i="35" l="1"/>
  <c r="B27" i="35" l="1"/>
  <c r="B151" i="33" l="1"/>
  <c r="B90" i="26"/>
  <c r="B359" i="27"/>
  <c r="B364" i="27" l="1"/>
  <c r="I80" i="35" l="1"/>
  <c r="U38" i="28"/>
  <c r="U80" i="28"/>
  <c r="U365" i="27"/>
  <c r="U391" i="27"/>
  <c r="U390" i="27"/>
  <c r="U381" i="27"/>
  <c r="U341" i="27"/>
  <c r="U364" i="27"/>
  <c r="B329" i="27"/>
  <c r="B244" i="26" l="1"/>
  <c r="B242" i="26"/>
  <c r="B241" i="26"/>
  <c r="B240" i="26"/>
  <c r="C240" i="26"/>
  <c r="B99" i="26" l="1"/>
  <c r="B100" i="26"/>
  <c r="B98" i="26"/>
  <c r="B97" i="26"/>
  <c r="B96" i="26"/>
  <c r="B71" i="25"/>
  <c r="C100" i="26"/>
  <c r="C98" i="26"/>
  <c r="C96" i="26"/>
  <c r="C99" i="26"/>
  <c r="C97" i="26"/>
  <c r="C95" i="26"/>
  <c r="B33" i="25" l="1"/>
  <c r="B114" i="25"/>
  <c r="B153" i="25" l="1"/>
  <c r="B132" i="25" l="1"/>
  <c r="B81" i="25" l="1"/>
  <c r="B25" i="25"/>
  <c r="C132" i="25" l="1"/>
  <c r="B14" i="31" l="1"/>
  <c r="J3" i="27" l="1"/>
  <c r="B341" i="27"/>
  <c r="B30" i="26"/>
  <c r="F348" i="33" l="1"/>
  <c r="F350" i="33"/>
  <c r="C25" i="25" l="1"/>
  <c r="C33" i="25"/>
  <c r="I199" i="33" l="1"/>
  <c r="G56" i="33" l="1"/>
  <c r="F56" i="33"/>
  <c r="E56" i="33"/>
  <c r="D56" i="33"/>
  <c r="C305" i="27" l="1"/>
  <c r="B305" i="27"/>
  <c r="B261" i="27"/>
  <c r="C185" i="27"/>
  <c r="B185" i="27"/>
  <c r="C147" i="27"/>
  <c r="B147" i="27"/>
  <c r="C60" i="27"/>
  <c r="B60" i="27"/>
  <c r="B108" i="27" l="1"/>
  <c r="C108" i="27"/>
  <c r="I123" i="35" l="1"/>
  <c r="I122" i="35"/>
  <c r="I121" i="35"/>
  <c r="I120" i="35"/>
  <c r="I119" i="35"/>
  <c r="I118" i="35"/>
  <c r="I117" i="35"/>
  <c r="I116" i="35"/>
  <c r="I115" i="35"/>
  <c r="I107" i="35"/>
  <c r="I110" i="35"/>
  <c r="I109" i="35"/>
  <c r="I108" i="35"/>
  <c r="I105" i="35"/>
  <c r="I104" i="35"/>
  <c r="I103" i="35"/>
  <c r="I102" i="35"/>
  <c r="B102" i="35"/>
  <c r="C110" i="35"/>
  <c r="B110" i="35"/>
  <c r="C109" i="35"/>
  <c r="B109" i="35"/>
  <c r="C108" i="35"/>
  <c r="B108" i="35"/>
  <c r="C107" i="35"/>
  <c r="B107" i="35"/>
  <c r="B113" i="35"/>
  <c r="B112" i="35"/>
  <c r="C105" i="35"/>
  <c r="B105" i="35"/>
  <c r="C104" i="35"/>
  <c r="B104" i="35"/>
  <c r="C103" i="35"/>
  <c r="B103" i="35"/>
  <c r="C102" i="35"/>
  <c r="B15" i="35"/>
  <c r="B14" i="35"/>
  <c r="B31" i="35"/>
  <c r="B30" i="35"/>
  <c r="I99" i="35"/>
  <c r="I98" i="35"/>
  <c r="I96" i="35"/>
  <c r="I94" i="35"/>
  <c r="I93" i="35"/>
  <c r="I92" i="35"/>
  <c r="I91" i="35"/>
  <c r="I90" i="35"/>
  <c r="I89" i="35"/>
  <c r="I87" i="35"/>
  <c r="I86" i="35"/>
  <c r="I84" i="35"/>
  <c r="I83" i="35"/>
  <c r="B91" i="35"/>
  <c r="B90" i="35"/>
  <c r="B89" i="35"/>
  <c r="B88" i="35"/>
  <c r="B87" i="35"/>
  <c r="B86" i="35"/>
  <c r="B85" i="35"/>
  <c r="I73" i="35"/>
  <c r="I72" i="35"/>
  <c r="I71" i="35"/>
  <c r="I70" i="35"/>
  <c r="I69" i="35"/>
  <c r="I68" i="35"/>
  <c r="I67" i="35"/>
  <c r="I65" i="35"/>
  <c r="I63" i="35"/>
  <c r="I60" i="35"/>
  <c r="I59" i="35"/>
  <c r="B58" i="35"/>
  <c r="I56" i="35"/>
  <c r="I55" i="35"/>
  <c r="I54" i="35"/>
  <c r="I53" i="35"/>
  <c r="I52" i="35"/>
  <c r="I50" i="35"/>
  <c r="C50" i="35"/>
  <c r="B52" i="35"/>
  <c r="C52" i="35"/>
  <c r="I49" i="35"/>
  <c r="I48" i="35"/>
  <c r="I47" i="35"/>
  <c r="I46" i="35"/>
  <c r="I45" i="35"/>
  <c r="I43" i="35"/>
  <c r="I40" i="35"/>
  <c r="I39" i="35"/>
  <c r="I38" i="35"/>
  <c r="I37" i="35"/>
  <c r="I34" i="35"/>
  <c r="I28" i="35"/>
  <c r="I27" i="35"/>
  <c r="I26" i="35"/>
  <c r="I25" i="35"/>
  <c r="I24" i="35"/>
  <c r="I23" i="35"/>
  <c r="I21" i="35"/>
  <c r="I20" i="35"/>
  <c r="I18" i="35"/>
  <c r="B36" i="35"/>
  <c r="B37" i="35"/>
  <c r="C37" i="35"/>
  <c r="I12" i="35"/>
  <c r="I11" i="35"/>
  <c r="I9" i="35"/>
  <c r="I7" i="35"/>
  <c r="B126" i="35"/>
  <c r="C123" i="35"/>
  <c r="B123" i="35"/>
  <c r="C122" i="35"/>
  <c r="B122" i="35"/>
  <c r="C121" i="35"/>
  <c r="B121" i="35"/>
  <c r="C120" i="35"/>
  <c r="B120" i="35"/>
  <c r="C119" i="35"/>
  <c r="B119" i="35"/>
  <c r="C118" i="35"/>
  <c r="B118" i="35"/>
  <c r="C117" i="35"/>
  <c r="B117" i="35"/>
  <c r="C116" i="35"/>
  <c r="B116" i="35"/>
  <c r="C115" i="35"/>
  <c r="B115" i="35"/>
  <c r="B101" i="35"/>
  <c r="C96" i="35"/>
  <c r="B96" i="35"/>
  <c r="C95" i="35"/>
  <c r="B95" i="35"/>
  <c r="C93" i="35"/>
  <c r="B93" i="35"/>
  <c r="C92" i="35"/>
  <c r="B92" i="35"/>
  <c r="C94" i="35"/>
  <c r="B94" i="35"/>
  <c r="C98" i="35"/>
  <c r="B98" i="35"/>
  <c r="C97" i="35"/>
  <c r="B97" i="35"/>
  <c r="B99" i="35"/>
  <c r="C84" i="35"/>
  <c r="B84" i="35"/>
  <c r="C83" i="35"/>
  <c r="B83" i="35"/>
  <c r="B82" i="35"/>
  <c r="B77" i="35"/>
  <c r="B76" i="35"/>
  <c r="B75" i="35"/>
  <c r="C63" i="35"/>
  <c r="B63" i="35"/>
  <c r="B62" i="35"/>
  <c r="B61" i="35"/>
  <c r="C60" i="35"/>
  <c r="B60" i="35"/>
  <c r="C59" i="35"/>
  <c r="B59" i="35"/>
  <c r="C73" i="35"/>
  <c r="B73" i="35"/>
  <c r="C72" i="35"/>
  <c r="B72" i="35"/>
  <c r="C71" i="35"/>
  <c r="B71" i="35"/>
  <c r="C70" i="35"/>
  <c r="B70" i="35"/>
  <c r="C69" i="35"/>
  <c r="B69" i="35"/>
  <c r="C68" i="35"/>
  <c r="B68" i="35"/>
  <c r="C67" i="35"/>
  <c r="B67" i="35"/>
  <c r="B66" i="35"/>
  <c r="C65" i="35"/>
  <c r="B65" i="35"/>
  <c r="C26" i="35"/>
  <c r="B26" i="35"/>
  <c r="C25" i="35"/>
  <c r="B25" i="35"/>
  <c r="C24" i="35"/>
  <c r="B24" i="35"/>
  <c r="C23" i="35"/>
  <c r="B23" i="35"/>
  <c r="C22" i="35"/>
  <c r="B22" i="35"/>
  <c r="C21" i="35"/>
  <c r="B21" i="35"/>
  <c r="C20" i="35"/>
  <c r="B20" i="35"/>
  <c r="C19" i="35"/>
  <c r="B19" i="35"/>
  <c r="C18" i="35"/>
  <c r="B18" i="35"/>
  <c r="C27" i="35"/>
  <c r="B17" i="35"/>
  <c r="C12" i="35"/>
  <c r="B12" i="35"/>
  <c r="C11" i="35"/>
  <c r="B11" i="35"/>
  <c r="B10" i="35"/>
  <c r="C9" i="35"/>
  <c r="B9" i="35"/>
  <c r="C34" i="35"/>
  <c r="B34" i="35"/>
  <c r="B33" i="35"/>
  <c r="C56" i="35"/>
  <c r="B56" i="35"/>
  <c r="C55" i="35"/>
  <c r="B55" i="35"/>
  <c r="C54" i="35"/>
  <c r="B54" i="35"/>
  <c r="C53" i="35"/>
  <c r="B53" i="35"/>
  <c r="B51" i="35"/>
  <c r="B50" i="35"/>
  <c r="C49" i="35"/>
  <c r="B49" i="35"/>
  <c r="C48" i="35"/>
  <c r="B48" i="35"/>
  <c r="C47" i="35"/>
  <c r="B47" i="35"/>
  <c r="C46" i="35"/>
  <c r="B46" i="35"/>
  <c r="C45" i="35"/>
  <c r="B45" i="35"/>
  <c r="B44" i="35"/>
  <c r="C43" i="35"/>
  <c r="B43" i="35"/>
  <c r="B42" i="35"/>
  <c r="C40" i="35"/>
  <c r="B40" i="35"/>
  <c r="B39" i="35"/>
  <c r="C38" i="35"/>
  <c r="B38" i="35"/>
  <c r="B8" i="35"/>
  <c r="K7" i="35"/>
  <c r="B4" i="35"/>
  <c r="C3" i="35"/>
  <c r="B3" i="35"/>
  <c r="B2" i="35"/>
  <c r="F3" i="33"/>
  <c r="B283" i="33"/>
  <c r="B279" i="33" s="1"/>
  <c r="B275" i="33"/>
  <c r="I339" i="33"/>
  <c r="B339" i="33"/>
  <c r="I341" i="33"/>
  <c r="B341" i="33"/>
  <c r="B338" i="33"/>
  <c r="B350" i="33"/>
  <c r="B351" i="33"/>
  <c r="I351" i="33"/>
  <c r="I350" i="33"/>
  <c r="I349" i="33"/>
  <c r="B349" i="33"/>
  <c r="C349" i="33"/>
  <c r="I348" i="33"/>
  <c r="I347" i="33"/>
  <c r="I333" i="33"/>
  <c r="I332" i="33"/>
  <c r="I328" i="33"/>
  <c r="C328" i="33"/>
  <c r="B328" i="33"/>
  <c r="I329" i="33"/>
  <c r="I327" i="33"/>
  <c r="I323" i="33"/>
  <c r="I322" i="33"/>
  <c r="B95" i="33"/>
  <c r="I316" i="33"/>
  <c r="I315" i="33"/>
  <c r="I309" i="33"/>
  <c r="I308" i="33"/>
  <c r="I307" i="33"/>
  <c r="I306" i="33"/>
  <c r="I305" i="33"/>
  <c r="I298" i="33"/>
  <c r="I297" i="33"/>
  <c r="I287" i="33"/>
  <c r="I286" i="33"/>
  <c r="B344" i="33"/>
  <c r="B343" i="33"/>
  <c r="I340" i="33"/>
  <c r="I273" i="33"/>
  <c r="I272" i="33"/>
  <c r="I271" i="33"/>
  <c r="I270" i="33"/>
  <c r="I269" i="33"/>
  <c r="I267" i="33"/>
  <c r="I260" i="33"/>
  <c r="I259" i="33"/>
  <c r="I253" i="33"/>
  <c r="I252" i="33"/>
  <c r="I246" i="33"/>
  <c r="I245" i="33"/>
  <c r="I238" i="33"/>
  <c r="I237" i="33"/>
  <c r="I236" i="33"/>
  <c r="I235" i="33"/>
  <c r="I233" i="33"/>
  <c r="I234" i="33"/>
  <c r="I230" i="33"/>
  <c r="B229" i="33"/>
  <c r="B232" i="33"/>
  <c r="I224" i="33"/>
  <c r="I223" i="33"/>
  <c r="B222" i="33"/>
  <c r="B221" i="33"/>
  <c r="I198" i="33"/>
  <c r="B198" i="33"/>
  <c r="I197" i="33"/>
  <c r="B199" i="33"/>
  <c r="B197" i="33"/>
  <c r="C197" i="33"/>
  <c r="B193" i="33"/>
  <c r="I195" i="33"/>
  <c r="B202" i="33"/>
  <c r="I196" i="33"/>
  <c r="I219" i="33"/>
  <c r="B219" i="33"/>
  <c r="I213" i="33"/>
  <c r="I212" i="33"/>
  <c r="I211" i="33"/>
  <c r="U72" i="32"/>
  <c r="I194" i="33"/>
  <c r="I185" i="33"/>
  <c r="I180" i="33"/>
  <c r="I179" i="33"/>
  <c r="I178" i="33"/>
  <c r="I177" i="33"/>
  <c r="I184" i="33"/>
  <c r="I183" i="33"/>
  <c r="I182" i="33"/>
  <c r="I181" i="33"/>
  <c r="C185" i="33"/>
  <c r="C184" i="33"/>
  <c r="C183" i="33"/>
  <c r="C182" i="33"/>
  <c r="C181" i="33"/>
  <c r="C180" i="33"/>
  <c r="C179" i="33"/>
  <c r="C178" i="33"/>
  <c r="C177" i="33"/>
  <c r="B185" i="33"/>
  <c r="B184" i="33"/>
  <c r="B183" i="33"/>
  <c r="B182" i="33"/>
  <c r="B181" i="33"/>
  <c r="B180" i="33"/>
  <c r="B179" i="33"/>
  <c r="B178" i="33"/>
  <c r="B177" i="33"/>
  <c r="I186" i="33"/>
  <c r="B186" i="33"/>
  <c r="I174" i="33"/>
  <c r="I190" i="33"/>
  <c r="I189" i="33"/>
  <c r="I171" i="33"/>
  <c r="I170" i="33"/>
  <c r="I169" i="33"/>
  <c r="B165" i="33"/>
  <c r="I165" i="33"/>
  <c r="C165" i="33"/>
  <c r="B164" i="33"/>
  <c r="B163" i="33"/>
  <c r="B162" i="33"/>
  <c r="I164" i="33"/>
  <c r="I163" i="33"/>
  <c r="I162" i="33"/>
  <c r="I161" i="33"/>
  <c r="C162" i="33"/>
  <c r="C161" i="33"/>
  <c r="B161" i="33"/>
  <c r="B160" i="33"/>
  <c r="I137" i="33"/>
  <c r="I156" i="33"/>
  <c r="C156" i="33"/>
  <c r="B156" i="33"/>
  <c r="I294" i="33"/>
  <c r="I293" i="33"/>
  <c r="I155" i="33"/>
  <c r="I152" i="33"/>
  <c r="I151" i="33"/>
  <c r="I150" i="33"/>
  <c r="I149" i="33"/>
  <c r="I148" i="33"/>
  <c r="I146" i="33"/>
  <c r="I134" i="33"/>
  <c r="I133" i="33"/>
  <c r="I132" i="33"/>
  <c r="I141" i="33"/>
  <c r="I140" i="33"/>
  <c r="B129" i="33"/>
  <c r="C129" i="33"/>
  <c r="I129" i="33"/>
  <c r="I128" i="33"/>
  <c r="I127" i="33"/>
  <c r="I126" i="33"/>
  <c r="U315" i="27"/>
  <c r="I125" i="33"/>
  <c r="I124" i="33"/>
  <c r="I121" i="33"/>
  <c r="I143" i="33"/>
  <c r="I142" i="33"/>
  <c r="I113" i="33"/>
  <c r="I112" i="33"/>
  <c r="I110" i="33"/>
  <c r="I109" i="33"/>
  <c r="I108" i="33"/>
  <c r="I106" i="33"/>
  <c r="I105" i="33"/>
  <c r="I103" i="33"/>
  <c r="I99" i="33"/>
  <c r="I74" i="33"/>
  <c r="I73" i="33"/>
  <c r="I72" i="33"/>
  <c r="I71" i="33"/>
  <c r="I70" i="33"/>
  <c r="I69" i="33"/>
  <c r="I68" i="33"/>
  <c r="I66" i="33"/>
  <c r="I95" i="33"/>
  <c r="B94" i="33"/>
  <c r="C95" i="33"/>
  <c r="I89" i="33"/>
  <c r="B89" i="33"/>
  <c r="I82" i="33"/>
  <c r="I81" i="33"/>
  <c r="I80" i="33"/>
  <c r="I79" i="33"/>
  <c r="I78" i="33"/>
  <c r="I77" i="33"/>
  <c r="I76" i="33"/>
  <c r="I75" i="33"/>
  <c r="I52" i="33"/>
  <c r="I31" i="33"/>
  <c r="C31" i="33"/>
  <c r="B31" i="33"/>
  <c r="B12" i="33"/>
  <c r="I12" i="33"/>
  <c r="B11" i="33"/>
  <c r="B13" i="33"/>
  <c r="I10" i="33"/>
  <c r="I60" i="33"/>
  <c r="I59" i="33"/>
  <c r="I58" i="33"/>
  <c r="I57" i="33"/>
  <c r="I55" i="33"/>
  <c r="I54" i="33"/>
  <c r="I51" i="33"/>
  <c r="I45" i="33"/>
  <c r="I44" i="33"/>
  <c r="I43" i="33"/>
  <c r="I41" i="33"/>
  <c r="I36" i="33"/>
  <c r="I35" i="33"/>
  <c r="I33" i="33"/>
  <c r="I28" i="33"/>
  <c r="I27" i="33"/>
  <c r="I26" i="33"/>
  <c r="I25" i="33"/>
  <c r="I22" i="33"/>
  <c r="I21" i="33"/>
  <c r="I20" i="33"/>
  <c r="I19" i="33"/>
  <c r="I18" i="33"/>
  <c r="I16" i="33"/>
  <c r="I13" i="33"/>
  <c r="I11" i="33"/>
  <c r="B10" i="33"/>
  <c r="B358" i="33"/>
  <c r="C355" i="33"/>
  <c r="B355" i="33"/>
  <c r="B354" i="33"/>
  <c r="B348" i="33"/>
  <c r="C347" i="33"/>
  <c r="B347" i="33"/>
  <c r="B346" i="33"/>
  <c r="B336" i="33"/>
  <c r="B335" i="33"/>
  <c r="B333" i="33"/>
  <c r="C332" i="33"/>
  <c r="B332" i="33"/>
  <c r="B331" i="33"/>
  <c r="B329" i="33"/>
  <c r="C327" i="33"/>
  <c r="B327" i="33"/>
  <c r="B326" i="33"/>
  <c r="B325" i="33"/>
  <c r="B323" i="33"/>
  <c r="C322" i="33"/>
  <c r="B322" i="33"/>
  <c r="B321" i="33"/>
  <c r="B319" i="33"/>
  <c r="B318" i="33"/>
  <c r="B316" i="33"/>
  <c r="C315" i="33"/>
  <c r="B315" i="33"/>
  <c r="B314" i="33"/>
  <c r="B312" i="33"/>
  <c r="B311" i="33"/>
  <c r="B309" i="33"/>
  <c r="B308" i="33"/>
  <c r="C307" i="33"/>
  <c r="B307" i="33"/>
  <c r="C306" i="33"/>
  <c r="B306" i="33"/>
  <c r="C305" i="33"/>
  <c r="B305" i="33"/>
  <c r="B304" i="33"/>
  <c r="B303" i="33"/>
  <c r="B301" i="33"/>
  <c r="B300" i="33"/>
  <c r="B298" i="33"/>
  <c r="C297" i="33"/>
  <c r="B297" i="33"/>
  <c r="B296" i="33"/>
  <c r="B294" i="33"/>
  <c r="C293" i="33"/>
  <c r="B293" i="33"/>
  <c r="B292" i="33"/>
  <c r="B290" i="33"/>
  <c r="B289" i="33"/>
  <c r="C286" i="33"/>
  <c r="B286" i="33"/>
  <c r="B285" i="33"/>
  <c r="C340" i="33"/>
  <c r="C273" i="33"/>
  <c r="B273" i="33"/>
  <c r="C272" i="33"/>
  <c r="B272" i="33"/>
  <c r="C271" i="33"/>
  <c r="B271" i="33"/>
  <c r="C270" i="33"/>
  <c r="B270" i="33"/>
  <c r="C269" i="33"/>
  <c r="B269" i="33"/>
  <c r="B268" i="33"/>
  <c r="C267" i="33"/>
  <c r="B267" i="33"/>
  <c r="B266" i="33"/>
  <c r="B265" i="33"/>
  <c r="B260" i="33"/>
  <c r="C259" i="33"/>
  <c r="B259" i="33"/>
  <c r="B258" i="33"/>
  <c r="B256" i="33"/>
  <c r="B255" i="33"/>
  <c r="B253" i="33"/>
  <c r="C252" i="33"/>
  <c r="B252" i="33"/>
  <c r="B251" i="33"/>
  <c r="B249" i="33"/>
  <c r="B248" i="33"/>
  <c r="B246" i="33"/>
  <c r="C245" i="33"/>
  <c r="B245" i="33"/>
  <c r="B244" i="33"/>
  <c r="B242" i="33"/>
  <c r="B241" i="33"/>
  <c r="B240" i="33"/>
  <c r="B238" i="33"/>
  <c r="B237" i="33"/>
  <c r="B236" i="33"/>
  <c r="C235" i="33"/>
  <c r="B235" i="33"/>
  <c r="C234" i="33"/>
  <c r="B234" i="33"/>
  <c r="C233" i="33"/>
  <c r="B233" i="33"/>
  <c r="B230" i="33"/>
  <c r="B227" i="33"/>
  <c r="B226" i="33"/>
  <c r="B224" i="33"/>
  <c r="C223" i="33"/>
  <c r="B223" i="33"/>
  <c r="U59" i="32"/>
  <c r="U49" i="32"/>
  <c r="U14" i="32"/>
  <c r="U21" i="32"/>
  <c r="B24" i="32"/>
  <c r="B73" i="32" l="1"/>
  <c r="B41" i="31"/>
  <c r="U18" i="31"/>
  <c r="U20" i="31"/>
  <c r="U19" i="31"/>
  <c r="U9" i="31"/>
  <c r="U14" i="31"/>
  <c r="U11" i="31"/>
  <c r="U14" i="28" l="1"/>
  <c r="U319" i="27"/>
  <c r="U316" i="27"/>
  <c r="U313" i="27"/>
  <c r="U227" i="27"/>
  <c r="U202" i="27"/>
  <c r="U201" i="27"/>
  <c r="U73" i="27"/>
  <c r="U22" i="27"/>
  <c r="U14" i="27"/>
  <c r="U13" i="27"/>
  <c r="U197" i="26"/>
  <c r="U184" i="26"/>
  <c r="U167" i="26"/>
  <c r="U153" i="26"/>
  <c r="U150" i="26"/>
  <c r="U147" i="26"/>
  <c r="U144" i="26"/>
  <c r="U141" i="26"/>
  <c r="U138" i="26"/>
  <c r="U132" i="26"/>
  <c r="U131" i="26"/>
  <c r="U110" i="26"/>
  <c r="U79" i="26"/>
  <c r="U72" i="26"/>
  <c r="U69" i="26"/>
  <c r="U67" i="26"/>
  <c r="U55" i="26"/>
  <c r="U43" i="26"/>
  <c r="U42" i="26"/>
  <c r="U41" i="26"/>
  <c r="U40" i="26"/>
  <c r="U39" i="26"/>
  <c r="U38" i="26"/>
  <c r="U37" i="26"/>
  <c r="U36" i="26"/>
  <c r="U35" i="26"/>
  <c r="U33" i="26"/>
  <c r="U23" i="26"/>
  <c r="U139" i="25"/>
  <c r="U116" i="25"/>
  <c r="U100" i="25"/>
  <c r="U92" i="25"/>
  <c r="U90" i="25"/>
  <c r="U65" i="25"/>
  <c r="U46" i="25"/>
  <c r="U26" i="25"/>
  <c r="U9" i="25"/>
  <c r="B84" i="28"/>
  <c r="B8" i="28" l="1"/>
  <c r="B188" i="27"/>
  <c r="B111" i="27"/>
  <c r="B8" i="27"/>
  <c r="B408" i="27"/>
  <c r="B246" i="26" l="1"/>
  <c r="C230" i="26" l="1"/>
  <c r="B205" i="25" l="1"/>
  <c r="B75" i="32"/>
  <c r="B113" i="25"/>
  <c r="U37" i="31" l="1"/>
  <c r="U35" i="31"/>
  <c r="B7" i="24"/>
  <c r="B6" i="24"/>
  <c r="B6" i="33"/>
  <c r="I7" i="33"/>
  <c r="U7" i="32"/>
  <c r="U7" i="31"/>
  <c r="U7" i="28"/>
  <c r="U7" i="27"/>
  <c r="U7" i="26"/>
  <c r="U7" i="25"/>
  <c r="C14" i="7" l="1"/>
  <c r="C37" i="31"/>
  <c r="B37" i="31"/>
  <c r="C36" i="31"/>
  <c r="B36" i="31"/>
  <c r="C35" i="31"/>
  <c r="B35" i="31"/>
  <c r="C33" i="31"/>
  <c r="B33" i="31"/>
  <c r="C32" i="31"/>
  <c r="B32" i="31"/>
  <c r="C31" i="31"/>
  <c r="B31" i="31"/>
  <c r="C30" i="31"/>
  <c r="B30" i="31"/>
  <c r="C29" i="31"/>
  <c r="B29" i="31"/>
  <c r="C28" i="31"/>
  <c r="B28" i="31"/>
  <c r="B27" i="31"/>
  <c r="C26" i="31"/>
  <c r="B26" i="31"/>
  <c r="B25" i="31"/>
  <c r="B23" i="31"/>
  <c r="B22" i="31"/>
  <c r="C20" i="31"/>
  <c r="B20" i="31"/>
  <c r="B19" i="31"/>
  <c r="C18" i="31"/>
  <c r="B18" i="31"/>
  <c r="B17" i="31"/>
  <c r="C15" i="31"/>
  <c r="B15" i="31"/>
  <c r="C14" i="31"/>
  <c r="C13" i="31"/>
  <c r="B13" i="31"/>
  <c r="C12" i="31"/>
  <c r="B12" i="31"/>
  <c r="C11" i="31"/>
  <c r="B11" i="31"/>
  <c r="B10" i="31"/>
  <c r="C9" i="31"/>
  <c r="B9" i="31"/>
  <c r="C8" i="31"/>
  <c r="B8" i="31"/>
  <c r="W7" i="31"/>
  <c r="T7" i="31"/>
  <c r="S7" i="31"/>
  <c r="B6" i="31"/>
  <c r="E3" i="31"/>
  <c r="C3" i="31"/>
  <c r="B3" i="31"/>
  <c r="B2" i="31"/>
  <c r="C72" i="32"/>
  <c r="B72" i="32"/>
  <c r="B71" i="32"/>
  <c r="B69" i="32"/>
  <c r="B68" i="32"/>
  <c r="B67" i="32"/>
  <c r="C66" i="32"/>
  <c r="B66" i="32"/>
  <c r="B65" i="32"/>
  <c r="C64" i="32"/>
  <c r="B64" i="32"/>
  <c r="B63" i="32"/>
  <c r="C62" i="32"/>
  <c r="B62" i="32"/>
  <c r="B61" i="32"/>
  <c r="B59" i="32"/>
  <c r="C58" i="32"/>
  <c r="B58" i="32"/>
  <c r="B57" i="32"/>
  <c r="C55" i="32"/>
  <c r="B55" i="32"/>
  <c r="C54" i="32"/>
  <c r="B54" i="32"/>
  <c r="C53" i="32"/>
  <c r="B53" i="32"/>
  <c r="B52" i="32"/>
  <c r="B51" i="32"/>
  <c r="B49" i="32"/>
  <c r="C48" i="32"/>
  <c r="B48" i="32"/>
  <c r="C47" i="32"/>
  <c r="B47" i="32"/>
  <c r="B46" i="32"/>
  <c r="C45" i="32"/>
  <c r="B45" i="32"/>
  <c r="B44" i="32"/>
  <c r="B43" i="32"/>
  <c r="C41" i="32"/>
  <c r="B41" i="32"/>
  <c r="C40" i="32"/>
  <c r="B40" i="32"/>
  <c r="B39" i="32"/>
  <c r="C37" i="32"/>
  <c r="B37" i="32"/>
  <c r="C36" i="32"/>
  <c r="B36" i="32"/>
  <c r="B35" i="32"/>
  <c r="C33" i="32"/>
  <c r="B33" i="32"/>
  <c r="C32" i="32"/>
  <c r="B32" i="32"/>
  <c r="B31" i="32"/>
  <c r="C29" i="32"/>
  <c r="B29" i="32"/>
  <c r="C28" i="32"/>
  <c r="B28" i="32"/>
  <c r="B27" i="32"/>
  <c r="B26" i="32"/>
  <c r="B23" i="32"/>
  <c r="B21" i="32"/>
  <c r="C20" i="32"/>
  <c r="B20" i="32"/>
  <c r="B19" i="32"/>
  <c r="C18" i="32"/>
  <c r="B18" i="32"/>
  <c r="C17" i="32"/>
  <c r="B17" i="32"/>
  <c r="C16" i="32"/>
  <c r="B16" i="32"/>
  <c r="B15" i="32"/>
  <c r="B14" i="32"/>
  <c r="C13" i="32"/>
  <c r="B13" i="32"/>
  <c r="C12" i="32"/>
  <c r="B12" i="32"/>
  <c r="B11" i="32"/>
  <c r="C10" i="32"/>
  <c r="B10" i="32"/>
  <c r="B9" i="32"/>
  <c r="B8" i="32"/>
  <c r="W7" i="32"/>
  <c r="T7" i="32"/>
  <c r="S7" i="32"/>
  <c r="R7" i="32"/>
  <c r="B6" i="32"/>
  <c r="H3" i="32"/>
  <c r="E4" i="32"/>
  <c r="B4" i="32"/>
  <c r="E3" i="32"/>
  <c r="C3" i="32"/>
  <c r="B3" i="32"/>
  <c r="B2" i="32"/>
  <c r="B218" i="33"/>
  <c r="B216" i="33"/>
  <c r="B215" i="33"/>
  <c r="C213" i="33"/>
  <c r="B213" i="33"/>
  <c r="C212" i="33"/>
  <c r="B212" i="33"/>
  <c r="C211" i="33"/>
  <c r="B211" i="33"/>
  <c r="C210" i="33"/>
  <c r="B210" i="33"/>
  <c r="B204" i="33"/>
  <c r="B201" i="33"/>
  <c r="B200" i="33"/>
  <c r="B196" i="33"/>
  <c r="C195" i="33"/>
  <c r="C194" i="33"/>
  <c r="B194" i="33"/>
  <c r="B192" i="33"/>
  <c r="C190" i="33"/>
  <c r="B190" i="33"/>
  <c r="C189" i="33"/>
  <c r="B189" i="33"/>
  <c r="B188" i="33"/>
  <c r="C186" i="33"/>
  <c r="B176" i="33"/>
  <c r="C174" i="33"/>
  <c r="B174" i="33"/>
  <c r="B173" i="33"/>
  <c r="B171" i="33"/>
  <c r="B170" i="33"/>
  <c r="B169" i="33"/>
  <c r="B168" i="33"/>
  <c r="B167" i="33"/>
  <c r="B158" i="33"/>
  <c r="B157" i="33"/>
  <c r="B155" i="33"/>
  <c r="B154" i="33"/>
  <c r="C152" i="33"/>
  <c r="B152" i="33"/>
  <c r="C151" i="33"/>
  <c r="C150" i="33"/>
  <c r="B150" i="33"/>
  <c r="C149" i="33"/>
  <c r="B149" i="33"/>
  <c r="C148" i="33"/>
  <c r="B148" i="33"/>
  <c r="B147" i="33"/>
  <c r="C146" i="33"/>
  <c r="B146" i="33"/>
  <c r="B145" i="33"/>
  <c r="C143" i="33"/>
  <c r="B143" i="33"/>
  <c r="C142" i="33"/>
  <c r="C141" i="33"/>
  <c r="B141" i="33"/>
  <c r="C140" i="33"/>
  <c r="B140" i="33"/>
  <c r="B139" i="33"/>
  <c r="C137" i="33"/>
  <c r="B137" i="33"/>
  <c r="B136" i="33"/>
  <c r="C134" i="33"/>
  <c r="B134" i="33"/>
  <c r="C133" i="33"/>
  <c r="B133" i="33"/>
  <c r="C132" i="33"/>
  <c r="B132" i="33"/>
  <c r="B131" i="33"/>
  <c r="C128" i="33"/>
  <c r="B128" i="33"/>
  <c r="C127" i="33"/>
  <c r="B127" i="33"/>
  <c r="C126" i="33"/>
  <c r="B126" i="33"/>
  <c r="C125" i="33"/>
  <c r="B125" i="33"/>
  <c r="B124" i="33"/>
  <c r="B123" i="33"/>
  <c r="B121" i="33"/>
  <c r="B120" i="33"/>
  <c r="B118" i="33"/>
  <c r="B117" i="33"/>
  <c r="B116" i="33"/>
  <c r="B115" i="33"/>
  <c r="B113" i="33"/>
  <c r="B112" i="33"/>
  <c r="B111" i="33"/>
  <c r="B110" i="33"/>
  <c r="B109" i="33"/>
  <c r="B108" i="33"/>
  <c r="B107" i="33"/>
  <c r="B106" i="33"/>
  <c r="B105" i="33"/>
  <c r="B104" i="33"/>
  <c r="C103" i="33"/>
  <c r="B103" i="33"/>
  <c r="B102" i="33"/>
  <c r="C99" i="33"/>
  <c r="B99" i="33"/>
  <c r="B98" i="33"/>
  <c r="B97" i="33"/>
  <c r="B92" i="33"/>
  <c r="B91" i="33"/>
  <c r="C89" i="33"/>
  <c r="B88" i="33"/>
  <c r="B86" i="33"/>
  <c r="B85" i="33"/>
  <c r="B84" i="33"/>
  <c r="B82" i="33"/>
  <c r="B81" i="33"/>
  <c r="B80" i="33"/>
  <c r="C79" i="33"/>
  <c r="B79" i="33"/>
  <c r="C78" i="33"/>
  <c r="B78" i="33"/>
  <c r="C77" i="33"/>
  <c r="B77" i="33"/>
  <c r="C76" i="33"/>
  <c r="B76" i="33"/>
  <c r="C75" i="33"/>
  <c r="B75" i="33"/>
  <c r="C74" i="33"/>
  <c r="B74" i="33"/>
  <c r="C73" i="33"/>
  <c r="B73" i="33"/>
  <c r="C72" i="33"/>
  <c r="B72" i="33"/>
  <c r="C71" i="33"/>
  <c r="B71" i="33"/>
  <c r="C70" i="33"/>
  <c r="B70" i="33"/>
  <c r="C69" i="33"/>
  <c r="B69" i="33"/>
  <c r="C68" i="33"/>
  <c r="B68" i="33"/>
  <c r="B67" i="33"/>
  <c r="C66" i="33"/>
  <c r="B66" i="33"/>
  <c r="B65" i="33"/>
  <c r="B63" i="33"/>
  <c r="B62" i="33"/>
  <c r="C60" i="33"/>
  <c r="B60" i="33"/>
  <c r="C59" i="33"/>
  <c r="B59" i="33"/>
  <c r="C58" i="33"/>
  <c r="B58" i="33"/>
  <c r="C57" i="33"/>
  <c r="B57" i="33"/>
  <c r="C56" i="33"/>
  <c r="B56" i="33"/>
  <c r="C55" i="33"/>
  <c r="B55" i="33"/>
  <c r="C54" i="33"/>
  <c r="B54" i="33"/>
  <c r="C53" i="33"/>
  <c r="B53" i="33"/>
  <c r="C52" i="33"/>
  <c r="B52" i="33"/>
  <c r="C51" i="33"/>
  <c r="B51" i="33"/>
  <c r="B50" i="33"/>
  <c r="B48" i="33"/>
  <c r="B47" i="33"/>
  <c r="C45" i="33"/>
  <c r="C44" i="33"/>
  <c r="B44" i="33"/>
  <c r="C43" i="33"/>
  <c r="B43" i="33"/>
  <c r="B42" i="33"/>
  <c r="C41" i="33"/>
  <c r="B41" i="33"/>
  <c r="B39" i="33"/>
  <c r="B38" i="33"/>
  <c r="C36" i="33"/>
  <c r="B36" i="33"/>
  <c r="C35" i="33"/>
  <c r="B35" i="33"/>
  <c r="B34" i="33"/>
  <c r="C33" i="33"/>
  <c r="B33" i="33"/>
  <c r="B30" i="33"/>
  <c r="C28" i="33"/>
  <c r="B28" i="33"/>
  <c r="C27" i="33"/>
  <c r="B27" i="33"/>
  <c r="C26" i="33"/>
  <c r="B26" i="33"/>
  <c r="C25" i="33"/>
  <c r="B25" i="33"/>
  <c r="B24" i="33"/>
  <c r="B23" i="33"/>
  <c r="C22" i="33"/>
  <c r="B22" i="33"/>
  <c r="C21" i="33"/>
  <c r="C20" i="33"/>
  <c r="B20" i="33"/>
  <c r="C19" i="33"/>
  <c r="B19" i="33"/>
  <c r="C18" i="33"/>
  <c r="B18" i="33"/>
  <c r="B17" i="33"/>
  <c r="C16" i="33"/>
  <c r="B16" i="33"/>
  <c r="B15" i="33"/>
  <c r="C13" i="33"/>
  <c r="C11" i="33"/>
  <c r="C10" i="33"/>
  <c r="B9" i="33"/>
  <c r="B8" i="33"/>
  <c r="K7" i="33"/>
  <c r="C4" i="33"/>
  <c r="B4" i="33"/>
  <c r="C3" i="33"/>
  <c r="B3" i="33"/>
  <c r="B2" i="33"/>
  <c r="B21" i="33"/>
  <c r="B12" i="25" l="1"/>
  <c r="B49" i="26"/>
  <c r="B55" i="26"/>
  <c r="B51" i="26"/>
  <c r="B53" i="26"/>
  <c r="B52" i="26"/>
  <c r="W7" i="28"/>
  <c r="W7" i="27"/>
  <c r="B324" i="27"/>
  <c r="B326" i="27"/>
  <c r="B325" i="27"/>
  <c r="B404" i="27"/>
  <c r="B403" i="27"/>
  <c r="B57" i="25"/>
  <c r="W7" i="25"/>
  <c r="W7" i="26"/>
  <c r="B54" i="25"/>
  <c r="C56" i="25"/>
  <c r="C57" i="25"/>
  <c r="C58" i="25"/>
  <c r="C55" i="25"/>
  <c r="C72" i="25"/>
  <c r="B61" i="25"/>
  <c r="B62" i="25"/>
  <c r="C51" i="25"/>
  <c r="C52" i="25"/>
  <c r="C50" i="25"/>
  <c r="C47" i="25"/>
  <c r="C48" i="25"/>
  <c r="B198" i="27"/>
  <c r="B228" i="26"/>
  <c r="B189" i="26"/>
  <c r="B182" i="26"/>
  <c r="B93" i="26"/>
  <c r="B45" i="26"/>
  <c r="B46" i="26"/>
  <c r="C55" i="26"/>
  <c r="B3" i="28"/>
  <c r="B371" i="27"/>
  <c r="J4" i="27"/>
  <c r="B308" i="27"/>
  <c r="G4" i="27"/>
  <c r="B226" i="27"/>
  <c r="G3" i="27"/>
  <c r="B197" i="27"/>
  <c r="C4" i="27"/>
  <c r="C3" i="27"/>
  <c r="B4" i="27"/>
  <c r="B3" i="27"/>
  <c r="B239" i="26"/>
  <c r="J4" i="26"/>
  <c r="B227" i="26"/>
  <c r="J3" i="26"/>
  <c r="B166" i="26"/>
  <c r="G3" i="26"/>
  <c r="B108" i="26"/>
  <c r="F3" i="26"/>
  <c r="B78" i="26"/>
  <c r="C3" i="26"/>
  <c r="B32" i="26"/>
  <c r="B5" i="26"/>
  <c r="B19" i="26"/>
  <c r="B4" i="26"/>
  <c r="B3" i="26"/>
  <c r="B8" i="26"/>
  <c r="B156" i="25"/>
  <c r="C3" i="25"/>
  <c r="B8" i="25"/>
  <c r="B3" i="25"/>
  <c r="B219" i="26"/>
  <c r="B6" i="26"/>
  <c r="C225" i="26"/>
  <c r="B202" i="25"/>
  <c r="B201" i="25"/>
  <c r="C199" i="25"/>
  <c r="B199" i="25"/>
  <c r="C198" i="25"/>
  <c r="B198" i="25"/>
  <c r="C197" i="25"/>
  <c r="B197" i="25"/>
  <c r="B196" i="25"/>
  <c r="B195" i="25"/>
  <c r="B193" i="25"/>
  <c r="B192" i="25"/>
  <c r="B190" i="25"/>
  <c r="B189" i="25"/>
  <c r="B188" i="25"/>
  <c r="C187" i="25"/>
  <c r="B187" i="25"/>
  <c r="C186" i="25"/>
  <c r="B186" i="25"/>
  <c r="C185" i="25"/>
  <c r="B185" i="25"/>
  <c r="C184" i="25"/>
  <c r="B184" i="25"/>
  <c r="C183" i="25"/>
  <c r="B183" i="25"/>
  <c r="B182" i="25"/>
  <c r="B181" i="25"/>
  <c r="B180" i="25"/>
  <c r="C179" i="25"/>
  <c r="B179" i="25"/>
  <c r="C178" i="25"/>
  <c r="B178" i="25"/>
  <c r="C177" i="25"/>
  <c r="B177" i="25"/>
  <c r="C176" i="25"/>
  <c r="B176" i="25"/>
  <c r="C175" i="25"/>
  <c r="B175" i="25"/>
  <c r="C174" i="25"/>
  <c r="B174" i="25"/>
  <c r="C173" i="25"/>
  <c r="B173" i="25"/>
  <c r="C172" i="25"/>
  <c r="B172" i="25"/>
  <c r="B171" i="25"/>
  <c r="C170" i="25"/>
  <c r="B170" i="25"/>
  <c r="B168" i="25"/>
  <c r="B167" i="25"/>
  <c r="C166" i="25"/>
  <c r="B166" i="25"/>
  <c r="C165" i="25"/>
  <c r="B165" i="25"/>
  <c r="C164" i="25"/>
  <c r="B164" i="25"/>
  <c r="C163" i="25"/>
  <c r="B163" i="25"/>
  <c r="C162" i="25"/>
  <c r="B162" i="25"/>
  <c r="C161" i="25"/>
  <c r="B161" i="25"/>
  <c r="C160" i="25"/>
  <c r="B160" i="25"/>
  <c r="C159" i="25"/>
  <c r="B159" i="25"/>
  <c r="B158" i="25"/>
  <c r="C157" i="25"/>
  <c r="B157" i="25"/>
  <c r="B154" i="25"/>
  <c r="B152" i="25"/>
  <c r="B151" i="25"/>
  <c r="B149" i="25"/>
  <c r="C148" i="25"/>
  <c r="B148" i="25"/>
  <c r="C147" i="25"/>
  <c r="B147" i="25"/>
  <c r="B146" i="25"/>
  <c r="C145" i="25"/>
  <c r="B145" i="25"/>
  <c r="C144" i="25"/>
  <c r="B144" i="25"/>
  <c r="C143" i="25"/>
  <c r="B143" i="25"/>
  <c r="C142" i="25"/>
  <c r="B142" i="25"/>
  <c r="C141" i="25"/>
  <c r="B141" i="25"/>
  <c r="C140" i="25"/>
  <c r="B140" i="25"/>
  <c r="C139" i="25"/>
  <c r="B139" i="25"/>
  <c r="B137" i="25"/>
  <c r="B136" i="25"/>
  <c r="B135" i="25"/>
  <c r="B134" i="25"/>
  <c r="C131" i="25"/>
  <c r="B131" i="25"/>
  <c r="C130" i="25"/>
  <c r="B130" i="25"/>
  <c r="C129" i="25"/>
  <c r="B129" i="25"/>
  <c r="C128" i="25"/>
  <c r="B128" i="25"/>
  <c r="C127" i="25"/>
  <c r="B127" i="25"/>
  <c r="C126" i="25"/>
  <c r="B126" i="25"/>
  <c r="C125" i="25"/>
  <c r="B125" i="25"/>
  <c r="B124" i="25"/>
  <c r="B123" i="25"/>
  <c r="C121" i="25"/>
  <c r="B121" i="25"/>
  <c r="C120" i="25"/>
  <c r="B120" i="25"/>
  <c r="C119" i="25"/>
  <c r="B119" i="25"/>
  <c r="C118" i="25"/>
  <c r="B118" i="25"/>
  <c r="B117" i="25"/>
  <c r="C116" i="25"/>
  <c r="B116" i="25"/>
  <c r="B115" i="25"/>
  <c r="B112" i="25"/>
  <c r="C110" i="25"/>
  <c r="B110" i="25"/>
  <c r="C109" i="25"/>
  <c r="B109" i="25"/>
  <c r="C108" i="25"/>
  <c r="B108" i="25"/>
  <c r="C107" i="25"/>
  <c r="B107" i="25"/>
  <c r="C106" i="25"/>
  <c r="B106" i="25"/>
  <c r="C105" i="25"/>
  <c r="B105" i="25"/>
  <c r="B104" i="25"/>
  <c r="C103" i="25"/>
  <c r="B103" i="25"/>
  <c r="C102" i="25"/>
  <c r="B102" i="25"/>
  <c r="C101" i="25"/>
  <c r="B101" i="25"/>
  <c r="C100" i="25"/>
  <c r="B100" i="25"/>
  <c r="C99" i="25"/>
  <c r="B99" i="25"/>
  <c r="C98" i="25"/>
  <c r="B98" i="25"/>
  <c r="C97" i="25"/>
  <c r="B97" i="25"/>
  <c r="C96" i="25"/>
  <c r="B96" i="25"/>
  <c r="C95" i="25"/>
  <c r="B95" i="25"/>
  <c r="C94" i="25"/>
  <c r="B94" i="25"/>
  <c r="C93" i="25"/>
  <c r="B93" i="25"/>
  <c r="C92" i="25"/>
  <c r="B92" i="25"/>
  <c r="B91" i="25"/>
  <c r="C90" i="25"/>
  <c r="B90" i="25"/>
  <c r="B89" i="25"/>
  <c r="B87" i="25"/>
  <c r="C86" i="25"/>
  <c r="B86" i="25"/>
  <c r="C85" i="25"/>
  <c r="B85" i="25"/>
  <c r="C84" i="25"/>
  <c r="B84" i="25"/>
  <c r="C83" i="25"/>
  <c r="B83" i="25"/>
  <c r="C82" i="25"/>
  <c r="B82" i="25"/>
  <c r="C81" i="25"/>
  <c r="B80" i="25"/>
  <c r="B79" i="25"/>
  <c r="C77" i="25"/>
  <c r="B77" i="25"/>
  <c r="B76" i="25"/>
  <c r="B75" i="25"/>
  <c r="B48" i="25"/>
  <c r="B58" i="25"/>
  <c r="B56" i="25"/>
  <c r="B47" i="25"/>
  <c r="B72" i="25"/>
  <c r="C70" i="25"/>
  <c r="B70" i="25"/>
  <c r="C69" i="25"/>
  <c r="B69" i="25"/>
  <c r="C68" i="25"/>
  <c r="B68" i="25"/>
  <c r="C67" i="25"/>
  <c r="B67" i="25"/>
  <c r="B66" i="25"/>
  <c r="C65" i="25"/>
  <c r="B65" i="25"/>
  <c r="B64" i="25"/>
  <c r="B60" i="25"/>
  <c r="B59" i="25"/>
  <c r="B73" i="25"/>
  <c r="B52" i="25"/>
  <c r="B51" i="25"/>
  <c r="B50" i="25"/>
  <c r="B49" i="25"/>
  <c r="B46" i="25"/>
  <c r="B44" i="25"/>
  <c r="B43" i="25"/>
  <c r="C41" i="25"/>
  <c r="B41" i="25"/>
  <c r="C40" i="25"/>
  <c r="B40" i="25"/>
  <c r="C39" i="25"/>
  <c r="B39" i="25"/>
  <c r="B38" i="25"/>
  <c r="C37" i="25"/>
  <c r="B37" i="25"/>
  <c r="B35" i="25"/>
  <c r="B34" i="25"/>
  <c r="C31" i="25"/>
  <c r="B31" i="25"/>
  <c r="C30" i="25"/>
  <c r="B30" i="25"/>
  <c r="C29" i="25"/>
  <c r="B29" i="25"/>
  <c r="C28" i="25"/>
  <c r="B28" i="25"/>
  <c r="B27" i="25"/>
  <c r="C26" i="25"/>
  <c r="B26" i="25"/>
  <c r="C23" i="25"/>
  <c r="B23" i="25"/>
  <c r="C22" i="25"/>
  <c r="B22" i="25"/>
  <c r="C21" i="25"/>
  <c r="B21" i="25"/>
  <c r="C20" i="25"/>
  <c r="B20" i="25"/>
  <c r="B19" i="25"/>
  <c r="C18" i="25"/>
  <c r="B18" i="25"/>
  <c r="C17" i="25"/>
  <c r="B17" i="25"/>
  <c r="C16" i="25"/>
  <c r="B16" i="25"/>
  <c r="C15" i="25"/>
  <c r="B15" i="25"/>
  <c r="B14" i="25"/>
  <c r="B13" i="25"/>
  <c r="C12" i="25"/>
  <c r="C11" i="25"/>
  <c r="B11" i="25"/>
  <c r="B10" i="25"/>
  <c r="C9" i="25"/>
  <c r="B9" i="25"/>
  <c r="T7" i="25"/>
  <c r="S7" i="25"/>
  <c r="B6" i="25"/>
  <c r="B2" i="25"/>
  <c r="B216" i="27"/>
  <c r="B215" i="27"/>
  <c r="B210" i="27"/>
  <c r="B209" i="27"/>
  <c r="B208" i="27"/>
  <c r="B74" i="28"/>
  <c r="B21" i="26"/>
  <c r="C21" i="26"/>
  <c r="B22" i="26"/>
  <c r="C22" i="26"/>
  <c r="B23" i="26"/>
  <c r="C23" i="26"/>
  <c r="B24" i="26"/>
  <c r="C24" i="26"/>
  <c r="B25" i="26"/>
  <c r="C25" i="26"/>
  <c r="B26" i="26"/>
  <c r="C26" i="26"/>
  <c r="B62" i="26"/>
  <c r="B71" i="26"/>
  <c r="B68" i="26"/>
  <c r="B70" i="26"/>
  <c r="C77" i="28"/>
  <c r="C76" i="28"/>
  <c r="C75" i="28"/>
  <c r="C74" i="28"/>
  <c r="C60" i="28"/>
  <c r="C59" i="28"/>
  <c r="C58" i="28"/>
  <c r="C33" i="28"/>
  <c r="C32" i="28"/>
  <c r="C31" i="28"/>
  <c r="C30" i="28"/>
  <c r="Z7" i="28"/>
  <c r="B29" i="24"/>
  <c r="B28" i="24"/>
  <c r="B27" i="24"/>
  <c r="B31" i="24"/>
  <c r="C15" i="7"/>
  <c r="C12" i="7"/>
  <c r="B193" i="27"/>
  <c r="C80" i="28"/>
  <c r="B77" i="28"/>
  <c r="B76" i="28"/>
  <c r="B75" i="28"/>
  <c r="C73" i="28"/>
  <c r="B73" i="28"/>
  <c r="C72" i="28"/>
  <c r="B72" i="28"/>
  <c r="C71" i="28"/>
  <c r="B71" i="28"/>
  <c r="C70" i="28"/>
  <c r="B70" i="28"/>
  <c r="B69" i="28"/>
  <c r="C67" i="28"/>
  <c r="B67" i="28"/>
  <c r="B66" i="28"/>
  <c r="C64" i="28"/>
  <c r="B64" i="28"/>
  <c r="C63" i="28"/>
  <c r="B63" i="28"/>
  <c r="C62" i="28"/>
  <c r="B62" i="28"/>
  <c r="C61" i="28"/>
  <c r="B61" i="28"/>
  <c r="B60" i="28"/>
  <c r="B59" i="28"/>
  <c r="B58" i="28"/>
  <c r="B57" i="28"/>
  <c r="C55" i="28"/>
  <c r="B55" i="28"/>
  <c r="C54" i="28"/>
  <c r="B54" i="28"/>
  <c r="C53" i="28"/>
  <c r="B53" i="28"/>
  <c r="B52" i="28"/>
  <c r="C51" i="28"/>
  <c r="B51" i="28"/>
  <c r="C50" i="28"/>
  <c r="B50" i="28"/>
  <c r="C49" i="28"/>
  <c r="B49" i="28"/>
  <c r="B48" i="28"/>
  <c r="B47" i="28"/>
  <c r="B44" i="28"/>
  <c r="B43" i="28"/>
  <c r="B42" i="28"/>
  <c r="B41" i="28"/>
  <c r="B40" i="28"/>
  <c r="C38" i="28"/>
  <c r="B38" i="28"/>
  <c r="C37" i="28"/>
  <c r="B37" i="28"/>
  <c r="C36" i="28"/>
  <c r="B36" i="28"/>
  <c r="C35" i="28"/>
  <c r="B35" i="28"/>
  <c r="C34" i="28"/>
  <c r="B34" i="28"/>
  <c r="B33" i="28"/>
  <c r="B32" i="28"/>
  <c r="B31" i="28"/>
  <c r="B30" i="28"/>
  <c r="B29" i="28"/>
  <c r="B27" i="28"/>
  <c r="B26" i="28"/>
  <c r="B25" i="28"/>
  <c r="B24" i="28"/>
  <c r="B23" i="28"/>
  <c r="B22" i="28"/>
  <c r="C20" i="28"/>
  <c r="B20" i="28"/>
  <c r="C19" i="28"/>
  <c r="B19" i="28"/>
  <c r="C18" i="28"/>
  <c r="B18" i="28"/>
  <c r="C17" i="28"/>
  <c r="B17" i="28"/>
  <c r="C16" i="28"/>
  <c r="B16" i="28"/>
  <c r="B15" i="28"/>
  <c r="C14" i="28"/>
  <c r="B14" i="28"/>
  <c r="C13" i="28"/>
  <c r="B13" i="28"/>
  <c r="C12" i="28"/>
  <c r="B12" i="28"/>
  <c r="C11" i="28"/>
  <c r="B11" i="28"/>
  <c r="B10" i="28"/>
  <c r="B9" i="28"/>
  <c r="T7" i="28"/>
  <c r="S7" i="28"/>
  <c r="B6" i="28"/>
  <c r="B2" i="28"/>
  <c r="B401" i="27"/>
  <c r="B400" i="27"/>
  <c r="B399" i="27"/>
  <c r="C398" i="27"/>
  <c r="B398" i="27"/>
  <c r="C397" i="27"/>
  <c r="B397" i="27"/>
  <c r="C396" i="27"/>
  <c r="B396" i="27"/>
  <c r="C394" i="27"/>
  <c r="B394" i="27"/>
  <c r="B393" i="27"/>
  <c r="C391" i="27"/>
  <c r="B391" i="27"/>
  <c r="C390" i="27"/>
  <c r="B390" i="27"/>
  <c r="C388" i="27"/>
  <c r="B388" i="27"/>
  <c r="C387" i="27"/>
  <c r="B387" i="27"/>
  <c r="C386" i="27"/>
  <c r="B386" i="27"/>
  <c r="B385" i="27"/>
  <c r="C384" i="27"/>
  <c r="B384" i="27"/>
  <c r="C383" i="27"/>
  <c r="B383" i="27"/>
  <c r="B382" i="27"/>
  <c r="C381" i="27"/>
  <c r="B381" i="27"/>
  <c r="C379" i="27"/>
  <c r="B379" i="27"/>
  <c r="C378" i="27"/>
  <c r="B378" i="27"/>
  <c r="C377" i="27"/>
  <c r="B377" i="27"/>
  <c r="B376" i="27"/>
  <c r="C375" i="27"/>
  <c r="B375" i="27"/>
  <c r="C374" i="27"/>
  <c r="B374" i="27"/>
  <c r="B373" i="27"/>
  <c r="C372" i="27"/>
  <c r="B372" i="27"/>
  <c r="C369" i="27"/>
  <c r="B369" i="27"/>
  <c r="B368" i="27"/>
  <c r="B362" i="27"/>
  <c r="B361" i="27"/>
  <c r="B360" i="27"/>
  <c r="B358" i="27"/>
  <c r="B356" i="27"/>
  <c r="B355" i="27"/>
  <c r="B354" i="27"/>
  <c r="B353" i="27"/>
  <c r="B352" i="27"/>
  <c r="C351" i="27"/>
  <c r="B351" i="27"/>
  <c r="C350" i="27"/>
  <c r="B350" i="27"/>
  <c r="B349" i="27"/>
  <c r="C348" i="27"/>
  <c r="B348" i="27"/>
  <c r="C347" i="27"/>
  <c r="B347" i="27"/>
  <c r="B346" i="27"/>
  <c r="C345" i="27"/>
  <c r="B345" i="27"/>
  <c r="B344" i="27"/>
  <c r="B343" i="27"/>
  <c r="C341" i="27"/>
  <c r="C338" i="27"/>
  <c r="B338" i="27"/>
  <c r="C337" i="27"/>
  <c r="B337" i="27"/>
  <c r="C336" i="27"/>
  <c r="B336" i="27"/>
  <c r="C335" i="27"/>
  <c r="B335" i="27"/>
  <c r="C334" i="27"/>
  <c r="B334" i="27"/>
  <c r="C333" i="27"/>
  <c r="B333" i="27"/>
  <c r="B332" i="27"/>
  <c r="B330" i="27"/>
  <c r="B328" i="27"/>
  <c r="C326" i="27"/>
  <c r="C325" i="27"/>
  <c r="C324" i="27"/>
  <c r="B323" i="27"/>
  <c r="C321" i="27"/>
  <c r="B321" i="27"/>
  <c r="C320" i="27"/>
  <c r="B320" i="27"/>
  <c r="C319" i="27"/>
  <c r="B319" i="27"/>
  <c r="C318" i="27"/>
  <c r="B318" i="27"/>
  <c r="C317" i="27"/>
  <c r="B317" i="27"/>
  <c r="C316" i="27"/>
  <c r="B316" i="27"/>
  <c r="C315" i="27"/>
  <c r="B315" i="27"/>
  <c r="B313" i="27"/>
  <c r="B311" i="27"/>
  <c r="C310" i="27"/>
  <c r="B310" i="27"/>
  <c r="B309" i="27"/>
  <c r="C306" i="27"/>
  <c r="B306" i="27"/>
  <c r="C304" i="27"/>
  <c r="B304" i="27"/>
  <c r="C303" i="27"/>
  <c r="B303" i="27"/>
  <c r="C302" i="27"/>
  <c r="B302" i="27"/>
  <c r="C301" i="27"/>
  <c r="B301" i="27"/>
  <c r="C300" i="27"/>
  <c r="B300" i="27"/>
  <c r="C299" i="27"/>
  <c r="B299" i="27"/>
  <c r="C298" i="27"/>
  <c r="B298" i="27"/>
  <c r="C297" i="27"/>
  <c r="B297" i="27"/>
  <c r="C296" i="27"/>
  <c r="B296" i="27"/>
  <c r="C295" i="27"/>
  <c r="B295" i="27"/>
  <c r="C294" i="27"/>
  <c r="B294" i="27"/>
  <c r="C293" i="27"/>
  <c r="B293" i="27"/>
  <c r="C292" i="27"/>
  <c r="B292" i="27"/>
  <c r="C291" i="27"/>
  <c r="B291" i="27"/>
  <c r="C290" i="27"/>
  <c r="B290" i="27"/>
  <c r="C289" i="27"/>
  <c r="B289" i="27"/>
  <c r="C288" i="27"/>
  <c r="B288" i="27"/>
  <c r="C287" i="27"/>
  <c r="B287" i="27"/>
  <c r="C286" i="27"/>
  <c r="B286" i="27"/>
  <c r="C285" i="27"/>
  <c r="B285" i="27"/>
  <c r="C284" i="27"/>
  <c r="B284" i="27"/>
  <c r="C283" i="27"/>
  <c r="B283" i="27"/>
  <c r="C282" i="27"/>
  <c r="B282" i="27"/>
  <c r="C281" i="27"/>
  <c r="B281" i="27"/>
  <c r="C280" i="27"/>
  <c r="B280" i="27"/>
  <c r="C279" i="27"/>
  <c r="B279" i="27"/>
  <c r="C278" i="27"/>
  <c r="B278" i="27"/>
  <c r="C277" i="27"/>
  <c r="B277" i="27"/>
  <c r="C276" i="27"/>
  <c r="B276" i="27"/>
  <c r="B275" i="27"/>
  <c r="C274" i="27"/>
  <c r="B274" i="27"/>
  <c r="C273" i="27"/>
  <c r="B273" i="27"/>
  <c r="C272" i="27"/>
  <c r="B272" i="27"/>
  <c r="B271" i="27"/>
  <c r="C270" i="27"/>
  <c r="B270" i="27"/>
  <c r="C269" i="27"/>
  <c r="B269" i="27"/>
  <c r="B268" i="27"/>
  <c r="C267" i="27"/>
  <c r="B267" i="27"/>
  <c r="B265" i="27"/>
  <c r="B264" i="27"/>
  <c r="B262" i="27"/>
  <c r="B260" i="27"/>
  <c r="B259" i="27"/>
  <c r="B258" i="27"/>
  <c r="B257" i="27"/>
  <c r="B256" i="27"/>
  <c r="B255" i="27"/>
  <c r="B254" i="27"/>
  <c r="B253" i="27"/>
  <c r="B252" i="27"/>
  <c r="B251" i="27"/>
  <c r="B250" i="27"/>
  <c r="B249" i="27"/>
  <c r="B248" i="27"/>
  <c r="B247" i="27"/>
  <c r="B246" i="27"/>
  <c r="B245" i="27"/>
  <c r="B244" i="27"/>
  <c r="B243" i="27"/>
  <c r="B242" i="27"/>
  <c r="B241" i="27"/>
  <c r="B240" i="27"/>
  <c r="B239" i="27"/>
  <c r="B238" i="27"/>
  <c r="B237" i="27"/>
  <c r="B236" i="27"/>
  <c r="B235" i="27"/>
  <c r="B234" i="27"/>
  <c r="B233" i="27"/>
  <c r="B232" i="27"/>
  <c r="B231" i="27"/>
  <c r="B230" i="27"/>
  <c r="B229" i="27"/>
  <c r="B228" i="27"/>
  <c r="B227" i="27"/>
  <c r="B224" i="27"/>
  <c r="B223" i="27"/>
  <c r="B222" i="27"/>
  <c r="B220" i="27"/>
  <c r="B219" i="27"/>
  <c r="B218" i="27"/>
  <c r="B217" i="27"/>
  <c r="C215" i="27"/>
  <c r="B214" i="27"/>
  <c r="B213" i="27"/>
  <c r="B212" i="27"/>
  <c r="B211" i="27"/>
  <c r="C209" i="27"/>
  <c r="B206" i="27"/>
  <c r="B205" i="27"/>
  <c r="B204" i="27"/>
  <c r="B203" i="27"/>
  <c r="B202" i="27"/>
  <c r="B201" i="27"/>
  <c r="B200" i="27"/>
  <c r="B199" i="27"/>
  <c r="C195" i="27"/>
  <c r="B195" i="27"/>
  <c r="C194" i="27"/>
  <c r="B194" i="27"/>
  <c r="C193" i="27"/>
  <c r="C191" i="27"/>
  <c r="B191" i="27"/>
  <c r="C190" i="27"/>
  <c r="B190" i="27"/>
  <c r="C189" i="27"/>
  <c r="B189" i="27"/>
  <c r="C186" i="27"/>
  <c r="B186" i="27"/>
  <c r="C184" i="27"/>
  <c r="B184" i="27"/>
  <c r="C183" i="27"/>
  <c r="B183" i="27"/>
  <c r="C182" i="27"/>
  <c r="B182" i="27"/>
  <c r="C181" i="27"/>
  <c r="B181" i="27"/>
  <c r="C180" i="27"/>
  <c r="B180" i="27"/>
  <c r="C179" i="27"/>
  <c r="B179" i="27"/>
  <c r="C178" i="27"/>
  <c r="B178" i="27"/>
  <c r="C177" i="27"/>
  <c r="B177" i="27"/>
  <c r="C176" i="27"/>
  <c r="B176" i="27"/>
  <c r="C175" i="27"/>
  <c r="B175" i="27"/>
  <c r="C174" i="27"/>
  <c r="B174" i="27"/>
  <c r="C173" i="27"/>
  <c r="B173" i="27"/>
  <c r="C172" i="27"/>
  <c r="B172" i="27"/>
  <c r="C171" i="27"/>
  <c r="B171" i="27"/>
  <c r="C170" i="27"/>
  <c r="B170" i="27"/>
  <c r="C169" i="27"/>
  <c r="B169" i="27"/>
  <c r="C168" i="27"/>
  <c r="B168" i="27"/>
  <c r="C167" i="27"/>
  <c r="B167" i="27"/>
  <c r="C166" i="27"/>
  <c r="B166" i="27"/>
  <c r="C165" i="27"/>
  <c r="B165" i="27"/>
  <c r="C164" i="27"/>
  <c r="B164" i="27"/>
  <c r="C163" i="27"/>
  <c r="B163" i="27"/>
  <c r="C162" i="27"/>
  <c r="B162" i="27"/>
  <c r="C161" i="27"/>
  <c r="B161" i="27"/>
  <c r="C160" i="27"/>
  <c r="B160" i="27"/>
  <c r="C159" i="27"/>
  <c r="B159" i="27"/>
  <c r="C158" i="27"/>
  <c r="B158" i="27"/>
  <c r="C157" i="27"/>
  <c r="B157" i="27"/>
  <c r="C156" i="27"/>
  <c r="B156" i="27"/>
  <c r="C155" i="27"/>
  <c r="B155" i="27"/>
  <c r="B154" i="27"/>
  <c r="C153" i="27"/>
  <c r="B153" i="27"/>
  <c r="C152" i="27"/>
  <c r="B152" i="27"/>
  <c r="B151" i="27"/>
  <c r="C150" i="27"/>
  <c r="B150" i="27"/>
  <c r="C148" i="27"/>
  <c r="B148" i="27"/>
  <c r="C146" i="27"/>
  <c r="B146" i="27"/>
  <c r="C145" i="27"/>
  <c r="B145" i="27"/>
  <c r="C144" i="27"/>
  <c r="B144" i="27"/>
  <c r="C143" i="27"/>
  <c r="B143" i="27"/>
  <c r="C142" i="27"/>
  <c r="B142" i="27"/>
  <c r="C141" i="27"/>
  <c r="B141" i="27"/>
  <c r="C140" i="27"/>
  <c r="B140" i="27"/>
  <c r="C139" i="27"/>
  <c r="B139" i="27"/>
  <c r="C138" i="27"/>
  <c r="B138" i="27"/>
  <c r="C137" i="27"/>
  <c r="B137" i="27"/>
  <c r="C136" i="27"/>
  <c r="B136" i="27"/>
  <c r="C135" i="27"/>
  <c r="B135" i="27"/>
  <c r="C134" i="27"/>
  <c r="B134" i="27"/>
  <c r="C133" i="27"/>
  <c r="B133" i="27"/>
  <c r="C132" i="27"/>
  <c r="B132" i="27"/>
  <c r="C131" i="27"/>
  <c r="B131" i="27"/>
  <c r="C130" i="27"/>
  <c r="B130" i="27"/>
  <c r="C129" i="27"/>
  <c r="B129" i="27"/>
  <c r="C128" i="27"/>
  <c r="B128" i="27"/>
  <c r="C127" i="27"/>
  <c r="B127" i="27"/>
  <c r="C126" i="27"/>
  <c r="B126" i="27"/>
  <c r="C125" i="27"/>
  <c r="B125" i="27"/>
  <c r="C124" i="27"/>
  <c r="B124" i="27"/>
  <c r="C123" i="27"/>
  <c r="B123" i="27"/>
  <c r="C122" i="27"/>
  <c r="B122" i="27"/>
  <c r="C121" i="27"/>
  <c r="B121" i="27"/>
  <c r="C120" i="27"/>
  <c r="B120" i="27"/>
  <c r="C119" i="27"/>
  <c r="B119" i="27"/>
  <c r="C118" i="27"/>
  <c r="B118" i="27"/>
  <c r="C117" i="27"/>
  <c r="B117" i="27"/>
  <c r="B116" i="27"/>
  <c r="C115" i="27"/>
  <c r="B115" i="27"/>
  <c r="C114" i="27"/>
  <c r="B114" i="27"/>
  <c r="B113" i="27"/>
  <c r="C112" i="27"/>
  <c r="B112" i="27"/>
  <c r="C109" i="27"/>
  <c r="B109" i="27"/>
  <c r="C107" i="27"/>
  <c r="B107" i="27"/>
  <c r="C106" i="27"/>
  <c r="B106" i="27"/>
  <c r="C105" i="27"/>
  <c r="B105" i="27"/>
  <c r="C104" i="27"/>
  <c r="B104" i="27"/>
  <c r="C103" i="27"/>
  <c r="B103" i="27"/>
  <c r="C102" i="27"/>
  <c r="B102" i="27"/>
  <c r="C101" i="27"/>
  <c r="B101" i="27"/>
  <c r="C100" i="27"/>
  <c r="B100" i="27"/>
  <c r="C99" i="27"/>
  <c r="B99" i="27"/>
  <c r="C98" i="27"/>
  <c r="B98" i="27"/>
  <c r="C97" i="27"/>
  <c r="B97" i="27"/>
  <c r="C96" i="27"/>
  <c r="B96" i="27"/>
  <c r="C95" i="27"/>
  <c r="B95" i="27"/>
  <c r="C94" i="27"/>
  <c r="B94" i="27"/>
  <c r="C93" i="27"/>
  <c r="B93" i="27"/>
  <c r="C92" i="27"/>
  <c r="B92" i="27"/>
  <c r="C91" i="27"/>
  <c r="B91" i="27"/>
  <c r="C90" i="27"/>
  <c r="B90" i="27"/>
  <c r="C89" i="27"/>
  <c r="B89" i="27"/>
  <c r="C88" i="27"/>
  <c r="B88" i="27"/>
  <c r="C87" i="27"/>
  <c r="B87" i="27"/>
  <c r="C86" i="27"/>
  <c r="B86" i="27"/>
  <c r="C85" i="27"/>
  <c r="B85" i="27"/>
  <c r="C84" i="27"/>
  <c r="B84" i="27"/>
  <c r="C83" i="27"/>
  <c r="B83" i="27"/>
  <c r="C82" i="27"/>
  <c r="B82" i="27"/>
  <c r="C81" i="27"/>
  <c r="B81" i="27"/>
  <c r="C80" i="27"/>
  <c r="B80" i="27"/>
  <c r="C79" i="27"/>
  <c r="B79" i="27"/>
  <c r="C78" i="27"/>
  <c r="B78" i="27"/>
  <c r="B77" i="27"/>
  <c r="C76" i="27"/>
  <c r="B76" i="27"/>
  <c r="C75" i="27"/>
  <c r="B75" i="27"/>
  <c r="B74" i="27"/>
  <c r="C73" i="27"/>
  <c r="B73" i="27"/>
  <c r="B71" i="27"/>
  <c r="B70" i="27"/>
  <c r="B68" i="27"/>
  <c r="B67" i="27"/>
  <c r="B66" i="27"/>
  <c r="B65" i="27"/>
  <c r="B64" i="27"/>
  <c r="B63" i="27"/>
  <c r="B62" i="27"/>
  <c r="C61" i="27"/>
  <c r="B61" i="27"/>
  <c r="C59" i="27"/>
  <c r="B59" i="27"/>
  <c r="C58" i="27"/>
  <c r="B58" i="27"/>
  <c r="C57" i="27"/>
  <c r="B57" i="27"/>
  <c r="C56" i="27"/>
  <c r="B56" i="27"/>
  <c r="C55" i="27"/>
  <c r="B55" i="27"/>
  <c r="C54" i="27"/>
  <c r="B54" i="27"/>
  <c r="C53" i="27"/>
  <c r="B53" i="27"/>
  <c r="C52" i="27"/>
  <c r="B52" i="27"/>
  <c r="C51" i="27"/>
  <c r="B51" i="27"/>
  <c r="C50" i="27"/>
  <c r="B50" i="27"/>
  <c r="C49" i="27"/>
  <c r="B49" i="27"/>
  <c r="C48" i="27"/>
  <c r="B48" i="27"/>
  <c r="C47" i="27"/>
  <c r="B47" i="27"/>
  <c r="C46" i="27"/>
  <c r="B46" i="27"/>
  <c r="C45" i="27"/>
  <c r="B45" i="27"/>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B29" i="27"/>
  <c r="B28" i="27"/>
  <c r="B27" i="27"/>
  <c r="B26" i="27"/>
  <c r="C25" i="27"/>
  <c r="B25" i="27"/>
  <c r="C24" i="27"/>
  <c r="B24" i="27"/>
  <c r="C23" i="27"/>
  <c r="B23" i="27"/>
  <c r="B22" i="27"/>
  <c r="B21" i="27"/>
  <c r="B20" i="27"/>
  <c r="B19" i="27"/>
  <c r="C18" i="27"/>
  <c r="B18" i="27"/>
  <c r="C17" i="27"/>
  <c r="B17" i="27"/>
  <c r="C16" i="27"/>
  <c r="B16" i="27"/>
  <c r="B15" i="27"/>
  <c r="B14" i="27"/>
  <c r="B13" i="27"/>
  <c r="C12" i="27"/>
  <c r="B12" i="27"/>
  <c r="C11" i="27"/>
  <c r="B11" i="27"/>
  <c r="B10" i="27"/>
  <c r="C9" i="27"/>
  <c r="B9" i="27"/>
  <c r="T7" i="27"/>
  <c r="S7" i="27"/>
  <c r="B6" i="27"/>
  <c r="B2" i="27"/>
  <c r="K69" i="27"/>
  <c r="C242" i="26"/>
  <c r="C241" i="26"/>
  <c r="C237" i="26"/>
  <c r="B237" i="26"/>
  <c r="C236" i="26"/>
  <c r="B236" i="26"/>
  <c r="B235" i="26"/>
  <c r="C233" i="26"/>
  <c r="B233" i="26"/>
  <c r="C232" i="26"/>
  <c r="B232" i="26"/>
  <c r="C231" i="26"/>
  <c r="B231" i="26"/>
  <c r="B229" i="26"/>
  <c r="C228" i="26"/>
  <c r="B225" i="26"/>
  <c r="B224" i="26"/>
  <c r="B223" i="26"/>
  <c r="B222" i="26"/>
  <c r="B221" i="26"/>
  <c r="C220" i="26"/>
  <c r="B220" i="26"/>
  <c r="C219" i="26"/>
  <c r="B218" i="26"/>
  <c r="C217" i="26"/>
  <c r="B217" i="26"/>
  <c r="B216" i="26"/>
  <c r="C214" i="26"/>
  <c r="B214" i="26"/>
  <c r="C212" i="26"/>
  <c r="B212" i="26"/>
  <c r="C211" i="26"/>
  <c r="B211" i="26"/>
  <c r="C210" i="26"/>
  <c r="B210" i="26"/>
  <c r="C209" i="26"/>
  <c r="B209" i="26"/>
  <c r="B208" i="26"/>
  <c r="C207" i="26"/>
  <c r="B207" i="26"/>
  <c r="C206" i="26"/>
  <c r="B206" i="26"/>
  <c r="C205" i="26"/>
  <c r="B205" i="26"/>
  <c r="C204" i="26"/>
  <c r="B204" i="26"/>
  <c r="C203" i="26"/>
  <c r="B203" i="26"/>
  <c r="C202" i="26"/>
  <c r="B202" i="26"/>
  <c r="B201" i="26"/>
  <c r="C200" i="26"/>
  <c r="B200" i="26"/>
  <c r="C199" i="26"/>
  <c r="B199" i="26"/>
  <c r="B198" i="26"/>
  <c r="C197" i="26"/>
  <c r="B197" i="26"/>
  <c r="B195" i="26"/>
  <c r="B194" i="26"/>
  <c r="B193" i="26"/>
  <c r="B192" i="26"/>
  <c r="B191" i="26"/>
  <c r="C189" i="26"/>
  <c r="C188" i="26"/>
  <c r="B188" i="26"/>
  <c r="C187" i="26"/>
  <c r="B187" i="26"/>
  <c r="B186" i="26"/>
  <c r="C185" i="26"/>
  <c r="B185" i="26"/>
  <c r="C184" i="26"/>
  <c r="B184" i="26"/>
  <c r="C182" i="26"/>
  <c r="C180" i="26"/>
  <c r="B180" i="26"/>
  <c r="C179" i="26"/>
  <c r="B179" i="26"/>
  <c r="C178" i="26"/>
  <c r="B178" i="26"/>
  <c r="C177" i="26"/>
  <c r="B177" i="26"/>
  <c r="B176" i="26"/>
  <c r="C175" i="26"/>
  <c r="B175" i="26"/>
  <c r="C174" i="26"/>
  <c r="B174" i="26"/>
  <c r="C173" i="26"/>
  <c r="B173" i="26"/>
  <c r="C172" i="26"/>
  <c r="B172" i="26"/>
  <c r="B171" i="26"/>
  <c r="C170" i="26"/>
  <c r="B170" i="26"/>
  <c r="C169" i="26"/>
  <c r="B169" i="26"/>
  <c r="B168" i="26"/>
  <c r="C167" i="26"/>
  <c r="B167" i="26"/>
  <c r="B164" i="26"/>
  <c r="B163" i="26"/>
  <c r="B162" i="26"/>
  <c r="B161" i="26"/>
  <c r="B159" i="26"/>
  <c r="C158" i="26"/>
  <c r="B158" i="26"/>
  <c r="C157" i="26"/>
  <c r="B157" i="26"/>
  <c r="C156" i="26"/>
  <c r="B156" i="26"/>
  <c r="C155" i="26"/>
  <c r="B155" i="26"/>
  <c r="C154" i="26"/>
  <c r="B154" i="26"/>
  <c r="C153" i="26"/>
  <c r="B153" i="26"/>
  <c r="C152" i="26"/>
  <c r="B152" i="26"/>
  <c r="C151" i="26"/>
  <c r="B151" i="26"/>
  <c r="C150" i="26"/>
  <c r="B150" i="26"/>
  <c r="C149" i="26"/>
  <c r="B149" i="26"/>
  <c r="C148" i="26"/>
  <c r="B148" i="26"/>
  <c r="C147" i="26"/>
  <c r="B147" i="26"/>
  <c r="C146" i="26"/>
  <c r="B146" i="26"/>
  <c r="C145" i="26"/>
  <c r="B145" i="26"/>
  <c r="C144" i="26"/>
  <c r="B144" i="26"/>
  <c r="C143" i="26"/>
  <c r="B143" i="26"/>
  <c r="C142" i="26"/>
  <c r="B142" i="26"/>
  <c r="C141" i="26"/>
  <c r="B141" i="26"/>
  <c r="C140" i="26"/>
  <c r="B140" i="26"/>
  <c r="C139" i="26"/>
  <c r="B139" i="26"/>
  <c r="C138" i="26"/>
  <c r="B138" i="26"/>
  <c r="C137" i="26"/>
  <c r="B137" i="26"/>
  <c r="C136" i="26"/>
  <c r="B136" i="26"/>
  <c r="C135" i="26"/>
  <c r="B135" i="26"/>
  <c r="C134" i="26"/>
  <c r="B134" i="26"/>
  <c r="C133" i="26"/>
  <c r="B133" i="26"/>
  <c r="C132" i="26"/>
  <c r="B132" i="26"/>
  <c r="C131" i="26"/>
  <c r="B131" i="26"/>
  <c r="C130" i="26"/>
  <c r="B130" i="26"/>
  <c r="C129" i="26"/>
  <c r="B129" i="26"/>
  <c r="B128" i="26"/>
  <c r="B127" i="26"/>
  <c r="C125" i="26"/>
  <c r="B125" i="26"/>
  <c r="C124" i="26"/>
  <c r="B124" i="26"/>
  <c r="C123" i="26"/>
  <c r="B123" i="26"/>
  <c r="C122" i="26"/>
  <c r="B122" i="26"/>
  <c r="C121" i="26"/>
  <c r="B121" i="26"/>
  <c r="C120" i="26"/>
  <c r="B120" i="26"/>
  <c r="C119" i="26"/>
  <c r="B119" i="26"/>
  <c r="B118" i="26"/>
  <c r="C117" i="26"/>
  <c r="B117" i="26"/>
  <c r="C116" i="26"/>
  <c r="B116" i="26"/>
  <c r="C115" i="26"/>
  <c r="B115" i="26"/>
  <c r="C114" i="26"/>
  <c r="B114" i="26"/>
  <c r="C113" i="26"/>
  <c r="B113" i="26"/>
  <c r="C112" i="26"/>
  <c r="B112" i="26"/>
  <c r="C111" i="26"/>
  <c r="B111" i="26"/>
  <c r="B110" i="26"/>
  <c r="C109" i="26"/>
  <c r="B109" i="26"/>
  <c r="B106" i="26"/>
  <c r="B105" i="26"/>
  <c r="B104" i="26"/>
  <c r="B103" i="26"/>
  <c r="B102" i="26"/>
  <c r="C93" i="26"/>
  <c r="C91" i="26"/>
  <c r="B91" i="26"/>
  <c r="C90" i="26"/>
  <c r="C89" i="26"/>
  <c r="B89" i="26"/>
  <c r="C88" i="26"/>
  <c r="B88" i="26"/>
  <c r="C87" i="26"/>
  <c r="B87" i="26"/>
  <c r="C86" i="26"/>
  <c r="B86" i="26"/>
  <c r="C85" i="26"/>
  <c r="B85" i="26"/>
  <c r="C84" i="26"/>
  <c r="B84" i="26"/>
  <c r="C83" i="26"/>
  <c r="B83" i="26"/>
  <c r="C82" i="26"/>
  <c r="B82" i="26"/>
  <c r="B81" i="26"/>
  <c r="C80" i="26"/>
  <c r="B80" i="26"/>
  <c r="C79" i="26"/>
  <c r="B79" i="26"/>
  <c r="B76" i="26"/>
  <c r="B75" i="26"/>
  <c r="B74" i="26"/>
  <c r="C72" i="26"/>
  <c r="B72" i="26"/>
  <c r="C69" i="26"/>
  <c r="B69" i="26"/>
  <c r="C67" i="26"/>
  <c r="B67" i="26"/>
  <c r="B65" i="26"/>
  <c r="B64" i="26"/>
  <c r="C61" i="26"/>
  <c r="B61" i="26"/>
  <c r="C60" i="26"/>
  <c r="B60" i="26"/>
  <c r="C59" i="26"/>
  <c r="B59" i="26"/>
  <c r="C58" i="26"/>
  <c r="B58" i="26"/>
  <c r="C57" i="26"/>
  <c r="B57" i="26"/>
  <c r="B56" i="26"/>
  <c r="B48" i="26"/>
  <c r="C43" i="26"/>
  <c r="B43" i="26"/>
  <c r="C42" i="26"/>
  <c r="B42" i="26"/>
  <c r="C41" i="26"/>
  <c r="B41" i="26"/>
  <c r="C40" i="26"/>
  <c r="B40" i="26"/>
  <c r="C39" i="26"/>
  <c r="B39" i="26"/>
  <c r="C38" i="26"/>
  <c r="B38" i="26"/>
  <c r="C37" i="26"/>
  <c r="B37" i="26"/>
  <c r="C36" i="26"/>
  <c r="B36" i="26"/>
  <c r="C35" i="26"/>
  <c r="B35" i="26"/>
  <c r="C46" i="26"/>
  <c r="B34" i="26"/>
  <c r="C53" i="26"/>
  <c r="C52" i="26"/>
  <c r="C33" i="26"/>
  <c r="B33" i="26"/>
  <c r="B29" i="26"/>
  <c r="B28" i="26"/>
  <c r="B20" i="26"/>
  <c r="B17" i="26"/>
  <c r="B16" i="26"/>
  <c r="C14" i="26"/>
  <c r="B14" i="26"/>
  <c r="B13" i="26"/>
  <c r="C12" i="26"/>
  <c r="B12" i="26"/>
  <c r="B11" i="26"/>
  <c r="C10" i="26"/>
  <c r="B10" i="26"/>
  <c r="B9" i="26"/>
  <c r="T7" i="26"/>
  <c r="S7" i="26"/>
  <c r="B2" i="26"/>
  <c r="C11" i="7"/>
  <c r="B44" i="24"/>
  <c r="B38" i="24"/>
  <c r="B36" i="24"/>
  <c r="B34" i="24"/>
  <c r="B25" i="24"/>
  <c r="B23" i="24"/>
  <c r="B18" i="24"/>
  <c r="C13" i="7"/>
  <c r="B58" i="24"/>
  <c r="B56" i="24"/>
  <c r="B55" i="24"/>
  <c r="B45" i="24"/>
  <c r="B52" i="24"/>
  <c r="B53" i="24"/>
  <c r="B51" i="24"/>
  <c r="B57" i="24"/>
  <c r="B50" i="24"/>
  <c r="B48" i="24"/>
  <c r="B49" i="24"/>
  <c r="B47" i="24"/>
  <c r="B43" i="24"/>
  <c r="B46" i="24"/>
  <c r="B54" i="24"/>
  <c r="B41" i="24"/>
  <c r="B42" i="24"/>
  <c r="B40" i="24"/>
  <c r="B39" i="24"/>
  <c r="B37" i="24"/>
  <c r="B19" i="24"/>
  <c r="B17" i="24"/>
  <c r="B33" i="24"/>
  <c r="B32" i="24"/>
  <c r="B24" i="24"/>
  <c r="B22" i="24"/>
  <c r="B21" i="24"/>
  <c r="B20" i="24"/>
  <c r="B15" i="24"/>
  <c r="B14" i="24"/>
  <c r="B13" i="24"/>
  <c r="B12" i="24"/>
  <c r="B11" i="24"/>
  <c r="B9" i="24"/>
  <c r="B8" i="24"/>
  <c r="B5" i="24"/>
  <c r="B2" i="24"/>
  <c r="C8" i="7"/>
  <c r="C10" i="7"/>
  <c r="C9" i="7"/>
  <c r="C6" i="7"/>
  <c r="C16" i="7"/>
  <c r="C18" i="7"/>
</calcChain>
</file>

<file path=xl/sharedStrings.xml><?xml version="1.0" encoding="utf-8"?>
<sst xmlns="http://schemas.openxmlformats.org/spreadsheetml/2006/main" count="3431" uniqueCount="249">
  <si>
    <t>%</t>
  </si>
  <si>
    <t>+7 (495) 730 60 13</t>
  </si>
  <si>
    <t>ir@novatek.ru</t>
  </si>
  <si>
    <t>n/a</t>
  </si>
  <si>
    <t>English</t>
  </si>
  <si>
    <t>Русский</t>
  </si>
  <si>
    <t>Language / Язык</t>
  </si>
  <si>
    <t xml:space="preserve">% </t>
  </si>
  <si>
    <t>Расчет косвенных энергетических выбросов (область охвата 2) произведен по методу, основанному на местоположении. Данный метод отражает среднюю интенсивность выбросов в сетях по региону, из которых осуществляется потребление электроэнергии.
Расчет произведен в соответствии с методологией «Концепция расчета и публикации коэффициентов выбросов парниковых газов энергосистемы РФ». Данная методология была разработана в 2022 году Ассоциацией «НП Совет рынка» и АО «АТС» и получила международное заключение о валидации.</t>
  </si>
  <si>
    <t>Потребление энергии рассчитывается как сумма закупленной энергии и обеспечивающей генерации за вычетом продажи и отпуска. При пересчете данных использовались следующие коэффициенты: 1 тыс. кВт*ч = 3,6 ГДж, 1 Гкал = 4,187 ГДж. При пересчете данных по потреблению топлива использовался коэффициент: 1 т.у.т. = 29,31 ГДж; 1 т.у.т. = 1 куб. м * 1,154.</t>
  </si>
  <si>
    <t>Расходы на реализацию мероприятий, связанных с охраной окружающей среды, включают расходы на реализацию природоохранных мероприятий и плату за негативное воздействие на окружающую среду.</t>
  </si>
  <si>
    <t>Поддержка лиц, относящихся в соответствии с Федеральным законом РФ «О ветеранах» к следующим категориям ветеранов: ветераны Великой Отечественной войны, ветераны боевых действий на территории СССР, на территории РФ и и территориях других государств, ветераны военной службы</t>
  </si>
  <si>
    <t>ссылка</t>
  </si>
  <si>
    <t>link</t>
  </si>
  <si>
    <t>В расчеты включены расходы по программе целевых компенсаций и социально-значимых выплат, по программе санаторно-курортного оздоровления, по программе, реализуемой на возвратной основе, по реабилитации детей сотрудников с ограниченными возможностями, по поддержке многодетных семей из дочерних обществ, воспитывающих 4 и более детей.</t>
  </si>
  <si>
    <t>В расчеты по работникам включены расходы на программу добровольного медицинского страхования работников, программу санаторно-курортного оздоровления и программу культурно-массовых и спортивных мероприятий.</t>
  </si>
  <si>
    <t>В расчеты по представителям местного населения включены расходы на проекты «Таргетная терапия», «Движение Детям», «Движение Врослым» ,«Нейродети», «Атмосфера» и «Академия здоровья».</t>
  </si>
  <si>
    <t>В расчеты включены расходы на проект «Высокотехнологичное оборудование».</t>
  </si>
  <si>
    <t>В расчеты включены расходы на поддержку детей (адресная благотворительная помощь детям и помощь приютам и коррекционным детским садам).</t>
  </si>
  <si>
    <t>В расчеты включены расходы на программу культурно-массовых и спортивных мероприятий для работников, а также проекты по поддержке мини-футбола, баскетбола, волейбола для местных жителей.</t>
  </si>
  <si>
    <t>В расходы на поддержку общеобразовательных организаций включены финансирование корпоративного ресурсного учебного центра на базе Тарко-Салинского колледжа, расходы на материально-техническую поддержку образовательных программ школ-интернатов, участие школьников в выездных мероприятиях.</t>
  </si>
  <si>
    <t>В расходы на поддержку организаций, реализующих программы среднего профессионального образования включены расходы на программу «Гранты» для школьников и учителей.</t>
  </si>
  <si>
    <t>В расходы на программы и мероприятия, направленные на профессиональную ориентацию детей и молодежи включены расходы на программу «Одаренные дети».</t>
  </si>
  <si>
    <t>В расходы на поддержку дополнительного образования для детей и молодежи включены расходы на организацию проектной, проектно-исследовательской деятельности, лекционных и практических занятий для детей и молодежи.</t>
  </si>
  <si>
    <t>В расчеты включены расходы на поддержку выставочной и просветительской деятельности.</t>
  </si>
  <si>
    <t>В расчеты включены расходы на восстановление мемориалов.</t>
  </si>
  <si>
    <t>В расчеты включены расходы на работы по строительству и материально-техническому оснащению объектов социальной инфраструктуры.</t>
  </si>
  <si>
    <t>Расходы на другие направления деятельности в сфере охраны окружающей среды включают затраты на экологический мониторинг, управленческие и прочие мероприятия.</t>
  </si>
  <si>
    <t>The calculations include Expenses on the High-Tech Equipment project.</t>
  </si>
  <si>
    <t>The calculations include Expenses on child support (targeted charitable aid to children and aid to orphanages and correctional kindergartens).</t>
  </si>
  <si>
    <t>The calculations include Expenses on the program of cultural and sports events for employees, as well as projects to support mini-football, basketball and volleyball for members of the local community.</t>
  </si>
  <si>
    <t>The calculations include Expenses on restoring memorials.</t>
  </si>
  <si>
    <t xml:space="preserve">The calculations include Expenses on construction and material and technical equipment of social infrastructure facilities. </t>
  </si>
  <si>
    <t>Indirect greenhouse gas emissions related to energy (Scope 2) are calculated using a location-based method. This method reflects the average emissions intensity in the grids of the region from which the electricity is consumed.
The calculation was made in accordance with the ‘Concept of calculation and publication of greenhouse gas emission factors of the Russian energy system’ methodology. This methodology was developed in 2022 by NP Market Council Association and ATS and received an international validation opinion.</t>
  </si>
  <si>
    <t>Energy consumption is calculated as the sum of purchased energy and supporting generation less sales and dispatch. The following coefficients were used to recalculate the data: 1 thousand kWh = 3.6 GJ, 1 Gcal = 4.187 GJ. When recalculating data on fuel consumption, the following coefficient was used: 1 toe = 29.31 GJ; 1 toe = 1 cubic metre * 1.154.</t>
  </si>
  <si>
    <t>Environmental expenses include Expenses on the implementation of activities related to environmental protection and Costs of compensation in the form of payment for negative environmental impact</t>
  </si>
  <si>
    <t>Expenses on other environmental activities include costs of environmental monitoring, management, and other activities.</t>
  </si>
  <si>
    <t>The environmentally significant incident recorded in 2018 was an oil product spill. Materiality thresholds for spills are determined based on the requirements of the Russian regulations and relevant local regulations of the Company: for water bodies, ≥ 0.5 tonnes; for land, ≥ 3 tonnes.</t>
  </si>
  <si>
    <t>Supporting persons  in the following veteran categories in accordance with the Federal Law of the Russian Federation ‘On Veterans’: veterans of the Great Patriotic War, veterans of combat operations in the USSR, the Russian Federation and other countries, veterans of military service</t>
  </si>
  <si>
    <t>The calculations include expenses on the program of targeted compensations and socially significant payments, the therapeutic resort treatment and rehabilitation program, the program implemented on a repayable basis, the rehabilitation of children of employees with disabilities, and support for large families from subsidiaries raising 4 or more children.</t>
  </si>
  <si>
    <t>The calculations for employees include Expenses on voluntary medical insurance program for employees, the therapeutic resort treatment and rehabilitation program, and the cultural and sporting events program.</t>
  </si>
  <si>
    <t>The calculations for members of the local community include Expenses of Target Therapy, Movement Kids, Movement Adults, Neurodeti, Atmosphere, and Health Academy projects.</t>
  </si>
  <si>
    <t>Expenses on supporting organizations implementing secondary vocational education programs include Expenses on the Grants program for schoolchildren and teachers.</t>
  </si>
  <si>
    <t>Expenses on supporting general education organizations include funding for the corporate resource training centre based at Tarko-Salinsk College; Expenses on material and technical support of educational programs at boarding schools, and participation of schoolchildren in field trips.</t>
  </si>
  <si>
    <t>Expenses on career guidance programs and activities for children and youth include Expenses on the Gifted Children program.</t>
  </si>
  <si>
    <t>Expenses on supporting additional education for children and youth include Expenses on organizing project, design and research activities, lectures and practical classes for children and young people.</t>
  </si>
  <si>
    <t>The calculations include Expenses on supporting exhibition and outreach activities.</t>
  </si>
  <si>
    <t>В расчеты включены расходы по Программе предоставления беспроцентных целевых займов на покупку жилья.</t>
  </si>
  <si>
    <t>The calculations include Expenses under the Interest-free special-purpose loan to purchase housing program.</t>
  </si>
  <si>
    <t>GRI 305-1
GRI 11.1.5</t>
  </si>
  <si>
    <t xml:space="preserve"> SASB EM-EP-110a.1</t>
  </si>
  <si>
    <t>IPIECA CCE-4</t>
  </si>
  <si>
    <t xml:space="preserve"> </t>
  </si>
  <si>
    <t>GRI 11.1.5</t>
  </si>
  <si>
    <t xml:space="preserve"> SASB EM-EP-110a.2</t>
  </si>
  <si>
    <t>IPIECA CCE-7</t>
  </si>
  <si>
    <t>GRI 305-2
GRI 11.1.6</t>
  </si>
  <si>
    <t>Indirect greenhouse gas emissions related to energy (Scope 2) are calculated using a location-based method. This method reflects the average intensity of emissions in the grids in the region from which electricity is consumed.
The calculation was made in accordance with the methodology ‘Concept of calculation and publication of greenhouse gas emission factors of the Russian energy system’. This methodology was developed in 2022 by NP Market Council Association and ATS and received an international validation opinion.</t>
  </si>
  <si>
    <t>GRI 305-3
GRI 11.1.7</t>
  </si>
  <si>
    <t>Расчет прочих косвенных выбросов парниковых газов (область охвата 3), относящиеся к добываемой продукции Компании, произведен с применением коэффициентов выбросов при использовании природного газа в качестве топлива, утвержденных приказом Минприроды России от 27 мая 2022 г. № 371 «Об утверждении методик количественного определения объемов выбросов парниковых газов и поглощений парниковых газов», а также с помощью Технического руководства расчета выбросов области охвата 3, версия 1.0 Протокола парниковых газов (GHG Protocol), при условии, что нефть и ШФЛУ направляются в переработку, а прочая добываемая продукция сжигается в качестве топлива, для категории 11 «Использование реализованной продукции» Руководства GHG Protocol.</t>
  </si>
  <si>
    <t>GRI 305-4
GRI 11.1.8</t>
  </si>
  <si>
    <t>Индекс GHG Intensity рассчитывается как отношение прочих косвенных выбросов парниковых газов (область охвата 3) от использования реализованной продукции к объему реализованной продукции. Для учета различных видов органического топлива (нефть и природный газ) их расход приводится к единому энергетическому эквиваленту — баррелю нефтяного эквивалента (бнэ).</t>
  </si>
  <si>
    <t>The GHG Intensity index is calculated as the ratio of other indirect greenhouse gas emissions (Scope 3) from the use of sold products to the volume of sold products. To account for different types of fossil fuels (oil and natural gas), their consumption is converted to a single energy equivalent, i. e. a barrel of oil equivalent (boe).</t>
  </si>
  <si>
    <t>GRI 305-5
GRI 11.2.3</t>
  </si>
  <si>
    <t>GRI 302-1
GRI 11.1.2</t>
  </si>
  <si>
    <t>IPIECA CCE-6</t>
  </si>
  <si>
    <t>GRI 302-4
GRI 302-5</t>
  </si>
  <si>
    <t>По причине некорректного перевода к унифицированным единицам измерения в категории «Бутановая фракция»  были уточнены значения за 2019-2022 годы. В соответствии с произведенными обновлениями значения итогового показателя «Расход топлива из невозобновляемых источников», в который входит значение категории «Бутановая фракция»,  были скорректированы за 2019-2022 годы.</t>
  </si>
  <si>
    <t>Due to incorrect conversion to unified units of measurement in the category «Butane fraction», the values for 2019-2022 have been updated. In accordance with the updates made, the values of the total indicator «Fuel consumption from non-renewable sources», which includes the value of the Butane fraction category, were adjusted for 2019-2022.</t>
  </si>
  <si>
    <t>GRI 302-3
GRI 11.1.4</t>
  </si>
  <si>
    <t>Сокращение удельного потребления электроэнергии от процесса добычи нефти в 2024 году обусловлено вводом Харбейского месторождения в разработку.</t>
  </si>
  <si>
    <t>Reduction of specific electricity consumption from the oil production process in 2024 is due to commissioning of the Kharbeyskoye field for development.</t>
  </si>
  <si>
    <t>Рост показателя удельного потребления электроэнергии от процесса переработки конденсата в 2024 году связан с внедрением технологии гидрокрекинга.</t>
  </si>
  <si>
    <t>The increase in specific electricity consumption from condensate processing in 2024 is due to the introduction of hydrocracking technology.</t>
  </si>
  <si>
    <t>С 2024 года в расчет показателя удельного потребления электроэнергии от процесса сжижения газа помимо значения по производству и отгрузке СПГ и конденсата ОАО «Ямал СПГ» включены производство и отгрузка СПГ ООО «Криогаз Высоцк». Показатели за предыдущие годы были пересчитаны.</t>
  </si>
  <si>
    <t>Starting from 2024, the calculation of specific electricity consumption from the gas liquefaction process includes production and shipment of LNG and condensate by JSC Yamal LNG in addition to the LNG production and shipment by LLC Cryogas Vysotsk. Figures for the prior years have been restated.</t>
  </si>
  <si>
    <t>GRI 11.2.2</t>
  </si>
  <si>
    <t>SASB EM-EP-420a.3</t>
  </si>
  <si>
    <t>Доля инвестиций в ВИЭ рассчитана от общего объема инвестиций обществ Группы компаний, которые осуществляли инвестиции в ВИЭ в отчетном году (ООО «НОВАТЭК-ТАРКОСАЛЕНЕФТЕГАЗ», ООО «ЯРГЕО», ООО «Обский ГХК», ООО «НОВАТЭК-ЮРХАРОВНЕФТЕГАЗ», АО «Арктикгаз», ООО «НОВАТЭК НТЦ», ООО «АРКТИК СПГ 1»). С 2024 года в периметр расчета показателя входит ООО «НОВАТЭК-Кострома».</t>
  </si>
  <si>
    <t>The share of investments in renewable energy sources is calculated from the total volume of investments of companies of the Group that invested in renewable energy sources in the reporting year (LLC NOVATEK-Tarkosaleneftegas, LLC YARGEO, LLC Obsky GHK, LLC NOVATEK-Yurkharovneftegas, JSC Arktikgaz, LLC NOVATEK NTC, LLC ARCTIC LNG 1). Starting from 2024, the indicator calculation perimeter includes LLC NOVATEK-Kostroma.</t>
  </si>
  <si>
    <t>Закупка по свободным двусторонним договорам (СДД) купли-продажи электрической энергии осуществлялась с объектов атомной и ветряной генерации. С 2024 отчетного года закупленная по такой схеме энергия не может признаваться энергией из ВИЭ без атрибутов в соответствии с Федеральным законом № 35-ФЗ «Об электроэнергетике». Объем закупленной энергии по СДД в 2024 г. составил 98 156 тыс. кВт*ч.</t>
  </si>
  <si>
    <t>Electricity under the free bilateral purchase agreements (BPAs) for the purchase and sale of electricity was procured from nuclear and wind power generation facilities. Starting from reporting year 2024, energy purchased under such a scheme cannot be recognised as RES energy without attributes in accordance with Federal Law No. 35 "On Electric Power Industry". The volume of energy purchased under BPAs in 2024 totalled 98,156 thousand kWh.</t>
  </si>
  <si>
    <t>SASB EM-EP-000.A</t>
  </si>
  <si>
    <t>GRI 11.8.4</t>
  </si>
  <si>
    <t>SASB EM-EP-160a.3</t>
  </si>
  <si>
    <t>SASB EM-EP-210a.1</t>
  </si>
  <si>
    <t>SASB EM-EP-210a.2</t>
  </si>
  <si>
    <t>SASB EM-EP000.B</t>
  </si>
  <si>
    <t>SASB EM-EP000.C</t>
  </si>
  <si>
    <t>GRI 404-2</t>
  </si>
  <si>
    <t>GRI 2-27</t>
  </si>
  <si>
    <t>SASB EM-EP-160a.2</t>
  </si>
  <si>
    <t>GRI 305-7
GRI 11.3.2</t>
  </si>
  <si>
    <t>SASB EM-EP-120a.1</t>
  </si>
  <si>
    <t>IPIECA ENV-5</t>
  </si>
  <si>
    <t>GRI 305-6</t>
  </si>
  <si>
    <t>GRI 306-3
GRI 11.5.4</t>
  </si>
  <si>
    <t>IPIECA ENV-7</t>
  </si>
  <si>
    <t>GRI 11.5.4</t>
  </si>
  <si>
    <t>GRI 306-4
GRI 11.5.5</t>
  </si>
  <si>
    <t>GRI 306-5
GRI 11.5.6</t>
  </si>
  <si>
    <t>GRI 303-3
GRI 11.6.4</t>
  </si>
  <si>
    <t>SASB. EM-EP-140a.1</t>
  </si>
  <si>
    <t>IPIECA ENV-1</t>
  </si>
  <si>
    <t>GRI  303-5
GRI  11.6.6</t>
  </si>
  <si>
    <t>GRI 303-4
GRI 11.6.5</t>
  </si>
  <si>
    <t>SASB. EM-EP-140a.2</t>
  </si>
  <si>
    <t>IPIECA ENV-2</t>
  </si>
  <si>
    <t>SASB. EM-EP-140a.2.</t>
  </si>
  <si>
    <t>GRI 304-4
GRI 11.4.5</t>
  </si>
  <si>
    <t>GRI 304-3
GRI 101-2
GRI 11.4.4</t>
  </si>
  <si>
    <t>GRI 304-3
GRI 11.4.4</t>
  </si>
  <si>
    <t>Audits by supervisory authorities include audits by the prosecutor's offices of the constituent entities of the Russian Federation, the Federal Service for Supervision of Natural Resources Management, executive authorities of the constituent entities of the Russian Federation, administrations of municipalities, and the Federal Agency for Fisheries.</t>
  </si>
  <si>
    <t>Проверки надзорными органами включают проверки прокуратур субъектов Российской Федерации, Федеральной службы по надзору в сфере природопользования, органов исполнительной власти субъектов Российской Федерации, администраций муниципальных образований, Федерального Агентства по рыболовству.</t>
  </si>
  <si>
    <t>The ratio of the organization's expenses on implementing environmental protection measures to revenue is calculated as the sum of expenses on all listed categories of environmental protection measures for the reporting period to revenue for the same period.</t>
  </si>
  <si>
    <t>Отношение расходов организации на реализацию мероприятий, связанных с охраной окружающей среды, к выручке рассчитывается как сумма затрат на все перечисленные категории мероприятий по охране окружающей среды за отчетный период к выручке за тот же период.</t>
  </si>
  <si>
    <t>The Percentage of payments for negative environmental impact in the total amount of the environmental expenses is calculated as the ratio of payments for negative environmental impact to the amount of expenses on environmental protection and payments for negative environmental impact.</t>
  </si>
  <si>
    <t>Доля платежей за негативное воздействие на окружающую среду в общем объеме расходов на окружающую среду рассчитывается как отношение платежей за негативное воздействие на окружающую среду к сумме расходов на охрану окружающей среды и платежей за негативное воздействие на окружающую среду.</t>
  </si>
  <si>
    <t>Damage compensation costs are calculated as the total amount of compensation for harm (damage) caused to the environment, individual components of the natural environment (land, water bodies, forests, wildlife, etc.) paid by the organization in the reporting period</t>
  </si>
  <si>
    <t>Затраты на компенсацию ущерба рассчитываются как общая сумма компенсации вреда (ущерба), причиненного окружающей среде, отдельным компонентам природной среды (землям, водным объектам, лесам, животному миру и др.), уплаченной организацией в отчетном периоде</t>
  </si>
  <si>
    <t>The amount of waste at the end of the year is calculated in accordance with Rosstat Order No. 627 of 09.10.2020 (as amended on 13.11.2020) and amounts to the sum of lines "Waste at the beginning of the year" and "Waste generated" less lines "Neutralization," "Landfill disposal," "Disposal", and "Waste transferred to the regional MSW operator."</t>
  </si>
  <si>
    <t>Расчет объемов отходов на конец года производится согласно Приказу Росстата от 09.10.2020 № 627 (ред. от 13.11.2020) и составляет сумму строк «Наличие отходов на начало года» и «Объем образованных отходов» за вычетом строк «Обезвреживание», «Захоронение на полигоне», «Утилизация» и «Отходы, переданные региональному оператору ТКО».</t>
  </si>
  <si>
    <t>GRI 2-7</t>
  </si>
  <si>
    <t>IPIECA SOC-5</t>
  </si>
  <si>
    <t>GRI 405-1
GRI 11.11.5</t>
  </si>
  <si>
    <t>GRI 405-1</t>
  </si>
  <si>
    <t>GRI 202-2
GRI 11.11.2
GRI 11.14.3</t>
  </si>
  <si>
    <t>IPIECA SOC-5
IPIECA SOC-15</t>
  </si>
  <si>
    <t>GRI 401-1</t>
  </si>
  <si>
    <t>IPIECA SOC-6</t>
  </si>
  <si>
    <t>GRI 2-30</t>
  </si>
  <si>
    <t>GRI 201-3</t>
  </si>
  <si>
    <t>В программу включены выплаты для поддержки семей работников, компенсации расходов на спортивно-оздоровительные занятия работников, переезд и обустройство жилья, материальную помощь в случае стихийных бедствий и прочих сложных жизненных ситуаций.</t>
  </si>
  <si>
    <t>The program includes payments to support the families of employees, compensation for expenses on sports and recreation activities of employees, relocation and accommodation, financial assistance in the event of natural disasters and other difficult life situations.</t>
  </si>
  <si>
    <t>GRI 401-3
GRI 11.10.4
GRI 11.11.3</t>
  </si>
  <si>
    <t>GRI 202-1</t>
  </si>
  <si>
    <t>-</t>
  </si>
  <si>
    <t>GRI 404-1
GRI 11.10.6
GRI 11.11.4</t>
  </si>
  <si>
    <t>IPIECA SOC-7</t>
  </si>
  <si>
    <t>GRI 404-3</t>
  </si>
  <si>
    <t>Для получения дополнительной информации см. Отчеты об устойчивом развитии за 2020-2024 гг. (глава "Персонал"). For more information, see Sustainability Reports 2020-2024 (chapter "Personnel").</t>
  </si>
  <si>
    <t>For more information, see Sustainability Reports 2020-2024 (chapter "Personnel"). For more information, see Sustainability Reports 2020-2024 (chapter "Personnel").</t>
  </si>
  <si>
    <t>IPIECA SOC-8</t>
  </si>
  <si>
    <t>GRI 403-9
GRI 11.9.10</t>
  </si>
  <si>
    <t>SASB EM-EP-320a.1</t>
  </si>
  <si>
    <t>IPIECA SHS-3</t>
  </si>
  <si>
    <t>Total recordable injury rate (TRIR) = Number of work-related injuries (including microtraumas) and fatalities x 1 million or 200,000 man-hours / Number of hours worked by all employees. First-aid-only cases are not taken into account when calculating the rate in accordance with GRI requirements.</t>
  </si>
  <si>
    <t>Коэффициент тяжелого травматизма = Количество пострадавших с тяжелыми травмами (без учета смертельных случаев) х 1 млн или 200 тыс. человеко-часов / Количество человеко-часов, отработанных всеми работниками.</t>
  </si>
  <si>
    <t>High-consequence work-related injuries rate = Number of high-consequence work-related injuries (excluding fatalities) x 1 million or 200,000 man-hours / Number of hours worked by all employees.</t>
  </si>
  <si>
    <t>Коэффициент частоты травм со смертельным исходом (FR) = Количество пострадавших со смертельным исходом х 1 млн или 200 тыс. человеко-часов / Количество человеко-часов, отработанных всеми работниками.</t>
  </si>
  <si>
    <t>Fatalities rate (FR) = Number of fatalities as a result of work-related injury x 1 million or 200,000 man-hours / Number of hours worked by all employees.</t>
  </si>
  <si>
    <t>Коэффициент частоты производственных травм с потерей трудоспособности (LTIFR) = Количество пострадавших от несчастных случаев (с учетом смертельных случаев) х 1 млн или 200 тыс. человеко-часов / Количество человеко-часов, отработанных всеми работниками.</t>
  </si>
  <si>
    <t>Lost time injury frequency rate (LTIFR) = Number of work-related lost time injuries (including fatalities) x 1 million or 200,000 man-hours / Number of hours worked by all employees.</t>
  </si>
  <si>
    <t xml:space="preserve">В соответствии со ст. 226 Трудового кодекса РФ под микроповреждениями (микротравмами) понимаются ссадины, кровоподтеки, ушибы мягких тканей, поверхностные раны и другие повреждения, не повлекшие расстройства здоровья или наступление временной нетрудоспособности. </t>
  </si>
  <si>
    <t>In accordance with Article 226 of the Labor Code of the Russian Federation, microinjuries (microtraumas) mean abrasions, contusions, soft-tissue bruises, superficial wounds, and other injuries that do not result in health impairment or temporary disability.</t>
  </si>
  <si>
    <t xml:space="preserve">При расчете количества регистрируемых производственных травм учитывается количество пострадавших и погибших при несчастных случаях, связанных с производством, а также случаи микроповреждений, при которых потребовалось оказание медицинской помощи квалифицированным медицинским персоналом.  </t>
  </si>
  <si>
    <t>When calculating the number of recordable work-related injuries, the number of people injured and fatalities in work-related accidents, as well as cases of microtraumas that required medical treatment by qualified medical personnel, are taken into account.</t>
  </si>
  <si>
    <t>GRI 403-10
GRI 11.9.11</t>
  </si>
  <si>
    <t>GRI 203-1
GRI 11.14.4
GRI 203-2
GRI 11.14.5</t>
  </si>
  <si>
    <t>IPIECA SOC-13</t>
  </si>
  <si>
    <t>GRI 411-1
GRI 11.17.2</t>
  </si>
  <si>
    <t>IPIECA SOC-12</t>
  </si>
  <si>
    <t>GRI 11.15.4</t>
  </si>
  <si>
    <t>IPIECA GOV-1</t>
  </si>
  <si>
    <t>GRI 2-26</t>
  </si>
  <si>
    <t>IPIECA SOC-14</t>
  </si>
  <si>
    <t>IPIECA SOC-2</t>
  </si>
  <si>
    <t>The value is based on the IFRS Disclosed Consolidated Financial Statements for 2024.</t>
  </si>
  <si>
    <t>← Back to Contents</t>
  </si>
  <si>
    <t>GRI 2-9
GRI 405-1</t>
  </si>
  <si>
    <t>GRI 2-9
 GRI 405-1</t>
  </si>
  <si>
    <t>GRI 204-1
GRI 11.14.6</t>
  </si>
  <si>
    <t>GRI 308-1
GRI 414-1
GRI 11.10.8
GRI 11.12.3</t>
  </si>
  <si>
    <t>GRI 414-2
GRI 11.10.9</t>
  </si>
  <si>
    <t>Тропин_ЭЮ (ОТиПБ)_Количественные_2024_KP 17.02.2025.XLSX</t>
  </si>
  <si>
    <t>Тропин_ЭЮ (ОТиПБ)_Количественные_2024_KP 17.02.2025.XLSX + корректировки к своду ОУР-2023</t>
  </si>
  <si>
    <t>Тропин_ЭЮ (ОТиПБ)_Количественные_2024_KP 17.02.2025.XLSX + корректировки к своду ОУР-2024</t>
  </si>
  <si>
    <t>Тропин_ЭЮ (ОТиПБ)_Количественные_2024_KP 17.02.2025.XLSX + корректировки к своду ОУР-2025</t>
  </si>
  <si>
    <t>Тропин_ЭЮ (ОТиПБ)_Количественные_2024_KP 17.02.2025.XLSX + корректировки к своду ОУР-2026</t>
  </si>
  <si>
    <t>Расходы_для ОУР 2024_kept_2.0.xlsx</t>
  </si>
  <si>
    <t>Рассчитано Kept (т.к. в ФСД некорректная формула)</t>
  </si>
  <si>
    <t>Рассчитано Kept (как сумма микротравм, легких, тяжелых и смертельных травм)</t>
  </si>
  <si>
    <t>Рассчитано Kept (как разница между общим количеством пострадавших и погибших и количеством смертельных и тяжелых травм)</t>
  </si>
  <si>
    <t>Да</t>
  </si>
  <si>
    <t xml:space="preserve">Scope 3 greenhouse gas emissions related to the Company's extracted products are calculated using emission factors for the use of natural gas as fuel approved by Order of the Ministry of Natural Resources and Environment of the Russian Federation No. 371 dated 27 May 2022 "On Approval of Methods for Quantifying Greenhouse Gas Emissions and Greenhouse Gas Sinks", as well as using the Technical Guidelines for Calculating Scope 3 Emissions, version 1.0 of the Greenhouse Gas Protocol (GHG Protocol), assuming that oil and NGLs are sent for processing, and that other extracted products are incinerated as a fuel, for category 11 «Use of finished products» of the GHG Protocol Guidelines. </t>
  </si>
  <si>
    <t>n/d</t>
  </si>
  <si>
    <t>IPIECA CCE-5</t>
  </si>
  <si>
    <t xml:space="preserve">Удельные выбросы парниковых газов в сегменте добычи рассчитаны как отношение валовых выбросов парниковых газов (области охвата 1 и 2) в сегменте добычи к годовому объему добычи углеводородов в соответствии с методикой OGCI. Сегмент добычи также включает разведку углеводородов. </t>
  </si>
  <si>
    <t xml:space="preserve">Удельные выбросы метана расчитаны как отношение валовых выбросов метана к годовому объему реализации природного газа в соответствии с методикой OGCI. </t>
  </si>
  <si>
    <t xml:space="preserve">Удельные выбросы парниковых газов расчитаны как отношение валовых выбросов парниковых газов (области охвата 1, 2 и 3) на протяжении всего жизненного цикла продукта от добычи сырья до использования его потребителем к годовому объему производства продукции, выраженному в энергетических единицах (МДж). В расчете используются коэффициенты API Compendium, учитывается категория 11 прочих косвенных выбросов парниковых газов (область охвата 3). </t>
  </si>
  <si>
    <t>The specific greenhouse gas emissions in the production segment are calculated as the ratio of gross greenhouse gas emissions (coverage areas 1 and 2) in the production segment to the annual volume of hydrocarbon production in accordance with the OGCI methodology. The production segment also includes hydrocarbon exploration.</t>
  </si>
  <si>
    <t>Specific greenhouse gas emissions are calculated as the ratio of gross greenhouse gas emissions (coverage areas 1, 2, and 3) over the entire product lifecycle from extraction of raw materials to consumer use to annual output expressed in energy units (MJ). The calculation uses API Compendium coefficients, and takes into account category 11 of other indirect greenhouse gas emissions (scope 3).</t>
  </si>
  <si>
    <t>Specific methane emissions are calculated as the ratio of gross methane emissions to annual natural gas sales in accordance with the OGCI methodology.</t>
  </si>
  <si>
    <t>В рамках Корпоративной системы оценки технических компетенций и в рамках программы «Шаги к раскрытию талантов»</t>
  </si>
  <si>
    <t>As part of the Corporate Technical Competence Assessment System and the Steps in Discovering Talents program</t>
  </si>
  <si>
    <t>Для синхронизации подходов с консолидированной финансовой отчетностью в 2025 году Компания пересмотрела подход к расчету показателей и произвела пересчет показателей за 2023, 2024 и 2025 годы. Показатели раскрыты пропорционально доле владения Группы в совместных предприятиях (периметр 2).</t>
  </si>
  <si>
    <t>To align its approaches with the consolidated financial statements in 2025, the Company revised its approach to calculating indicators and recalculated the indicators for 2023, 2024, and 2025. The indicators are disclosed in proportion to the Group's ownership interest in joint ventures (perimeter 2).</t>
  </si>
  <si>
    <t>Исчезающие</t>
  </si>
  <si>
    <t>Пороги существенности разливов определяются на основе требований нормативно-правовых актов РФ и соответствующих локальных нормативных актов Компании:  для водных объектов – ≥0,5 тонны, для суши – ≥3 тонны.</t>
  </si>
  <si>
    <t>Amount of the one-time payment (including in the form of financial assistance) to employees after a birth of a child paid during the first year after the birth of the child</t>
  </si>
  <si>
    <t>Размер единовременной выплаты (в том числе в виде материальной помощи), осуществляемой работникам при рождении ребенка, выплачиваемой в течение первого года после рождения ребенка</t>
  </si>
  <si>
    <t>Сумма удовлетворенных требований по судебным спорам с участием эмитента в качестве ответчика</t>
  </si>
  <si>
    <t>Сумма штрафов, наложенных на организацию и должностных лиц в связи с нарушением требований законодательства Российской Федерации об акционерных обществах и ценных бумагах, в сфере корпоративных отношений в акционерных обществах</t>
  </si>
  <si>
    <t>по делам о предъявлении требований к действующему или бывшему членам органов управления эмитента</t>
  </si>
  <si>
    <t>по делам об оспаривании сделок по статьям 173 и 174 Гражданского кодекса Российской Федерации</t>
  </si>
  <si>
    <t>по делам об оспаривании решений органов управления эмитента, а также споров с участием эмитента в иных судебных делах, связанных с нарушением корпоративного законодательства</t>
  </si>
  <si>
    <t>Сумма заявленных требований по судебным спорам с участием эмитента в качестве ответчика</t>
  </si>
  <si>
    <t>Amount of claims under lawsuits filed against the issuer as a defendant</t>
  </si>
  <si>
    <t>Under lawsuits against current or former members of the issuer’s management bodies</t>
  </si>
  <si>
    <t>Under lawsuits challenging transactions in accordance with Articles 1731 and 174 of the Civil Code of the Russian Federation</t>
  </si>
  <si>
    <t>Under lawsuits challenging resolutions of the issuer’s management bodies, as well as disputes involving the issuer in other lawsuits related to violation of corporate laws</t>
  </si>
  <si>
    <t>Amount of satisfied claims under lawsuits involving the issuer as a defendant</t>
  </si>
  <si>
    <t>Amount of fines imposed on the organisation and its officers for violation of the laws of the Russian Federation on joint-stock companies and securities, and corporate relations in joint-stock companies</t>
  </si>
  <si>
    <t>The value is based on the IFRS Disclosed Consolidated Financial Statements for 2025.</t>
  </si>
  <si>
    <t>Объем инвестиций в проекты, связанные с достижением технологического суверенитета и структурной адаптацией экономики Российской Федерации</t>
  </si>
  <si>
    <t>Доля инвестиций в проекты, связанные с достижением технологического суверенитета и структурной адаптацией экономики РФ, в общем объеме инвестиций</t>
  </si>
  <si>
    <t>Amount of investments in projects related to the achievement of technological sovereignty and structural adaptation of the Russian economy</t>
  </si>
  <si>
    <t xml:space="preserve">Percentage of such investments in projects related to the achievement of technological sovereignty and structural adaptation of the Russian economy in total investments </t>
  </si>
  <si>
    <t>Отношение инвестиций организации в проекты, связанные с достижением технологического суверенитета и структурной адаптацией экономики Российской Федерации, к выручке</t>
  </si>
  <si>
    <t>Ratio of the organisation’s investments in projects related to the achievement of technological sovereignty and structural adaptation of the Russian economy to the organisation’s revenue</t>
  </si>
  <si>
    <t>Отношение инвестиций в проекты, связанные с достижением технологического суверенитета и структурной адаптацией экономики Российской Федерации, к выручке</t>
  </si>
  <si>
    <t>Ratio of the organisation’s investments in projects related to the achievement of technological sovereignty and structural adaptation of the Russian economy to revenue</t>
  </si>
  <si>
    <t>Перечень показателей Таксономии XBRL Банка России (версия 7.5.1.0) (для эмитентов)</t>
  </si>
  <si>
    <t>List of indicators of the XBRL Taxonomy of the Bank of Russia (version 7.5.1.0) (for issuers)</t>
  </si>
  <si>
    <t>В Отчете за 2025 год произведен пересчет показателя потребления энергии из ВИЭ за 2023 и 2024 годы пропорционально доле владения Группы в совместных предприятиях. Подробнее см. в Приложении 4, показатель GRI 2-4.</t>
  </si>
  <si>
    <t>В Отчете за 2025 год произведен пересчет показателя выработки электроэнергии из ВИЭ за 2023 и 2024 года пропорционально доле владения Группы в совместных предприятиях. Подробнее см в Приложении 4, показатель GRI 2-4.</t>
  </si>
  <si>
    <t>В Отчете за 2025 год произведен пересчет суммарного сокращения энергопотребления за 2023 и 2024 годы, а также потребления энергии за 2023 и 2024 годы пропорционально доле владения Группы в совместных предприятиях. Подробнее см. в Приложении 4, показатель GRI 2-4.</t>
  </si>
  <si>
    <t>The 2025 Report recalculates the total energy consumption reductions for 2023 and 2024, as well as the energy consumption for 2023 and 2024 proportionate to the Group's ownership stake in joint ventures. For more details, see Appendix 4, GRI 2-4.</t>
  </si>
  <si>
    <t>In the 2025 Report, the renewable energy consumption indicator for 2023 and 2024 has been recalculated proportionally to the Group's ownership stake in joint ventures. For more details, see Appendix 4, GRI 2-4.</t>
  </si>
  <si>
    <t>1 784</t>
  </si>
  <si>
    <t>GRI 11.4.4</t>
  </si>
  <si>
    <t>The 2025 Report recalculates the area of ​​disturbed and reclaimed land on the Company's enterprise sites for 2023 and 2024. The indicator boundaries have been expanded, and leased land has been added.</t>
  </si>
  <si>
    <t>Программа целевых компенсаций и социально значимых выплат направлена на оказание адресной материальной помощи работникам в определенных жизненных ситуациях, в т.ч. на поддержку многодетных семей. С 2025 года значение по поддержке многодетных семей включает также информацию по зависимым обществам</t>
  </si>
  <si>
    <t>The program of targeted compensation and socially significant payments is aimed at providing targeted financial assistance to employees in certain life situations, including support for large families. Starting in 2025, the scope of support for large families will also include information on dependent companies.</t>
  </si>
  <si>
    <t>Near miss frequency rate (NMFR) = Number of work-related near miss x 200,000 man-hours / Number of hours worked by all employees. Due to the lack of a unified methodology for calculating the indicator, the indicator was not calculated in the 2025.</t>
  </si>
  <si>
    <t>В расчеты включены расходы по подготовке новой трассы и проведение лыжного марафона в поселке Токсово.</t>
  </si>
  <si>
    <t>The calculations include Expenses on the preparation of a new track and holding a ski marathon in the village of Toksovo.</t>
  </si>
  <si>
    <t> Да</t>
  </si>
  <si>
    <t>Налоги и сборы включают налоги, кроме налога на прибыль, налог на добычу полезных ископаемых, налог на имущество, прочие налоги. Значение приведено на основании Раскрываемой консолидированной финансовой отчетности за 2025 год.</t>
  </si>
  <si>
    <t>Taxes and fees include taxes other than income tax, mineral extraction tax, property tax, other taxes. The value is based on the Disclosed Consolidated Financial Statements for 2025.</t>
  </si>
  <si>
    <t xml:space="preserve">Частота происшествий без последствий (NMFR) = Количество происшествий без последствий х 200 тыс. человеко-часов / Количество человеко-часов, отработанных всеми работниками. В 2025 году данные не консолидировались на уровне Группы. </t>
  </si>
  <si>
    <t>&gt;150 000</t>
  </si>
  <si>
    <t>GRI 102-8</t>
  </si>
  <si>
    <t>The indicator is an average of the share of disabled employees across the Group and also includes the share of disabled employees hired by third parties. This indicator was calculated based on the recommendations to the calculation approach of the PBCS Standard and cannot be the basis for determining whether the quota is met in accordance with Resolution of the Russian Government No. 366, On Approval of the Rules for Employers to Fulfil the Employment Quota for Disabled Persons When Employing Disabled Persons in Any Position, dated 14 March 2022’, as it does not take into account the regional factor.</t>
  </si>
  <si>
    <t xml:space="preserve">Показатель является усредненным от доли работников, являющихся инвалидами по Группе Компаний, а также включает в себя долю работников, являющихся инвалидами, нанятых из сторонних организаций. Данный показатель был посчитан исходя из рекомендаций к подходу расчета Стандарта СОКБ и не может являться основанием для определения выполнения квоты в соответствии с постановлением Правительства РФ от 14.03.2022 № 366 «Об утверждении Правил выполнения работодателем квоты для приема на работу инвалидов при оформлении трудовых отношений с инвалидом на любое рабочее место», поскольку не учитывает региональный фактор. </t>
  </si>
  <si>
    <t>В Отчете за 2025 год произведен пересчет показателя устойчивых, в том числе "зеленых" инвестиций за 2023 и 2024 годы пропорционально доле владения Группы в совместных предприятиях. Подробнее см. в Приложении 4, показатель GRI 2-4.</t>
  </si>
  <si>
    <t>In the 2025 Report, the Volume of sustainable, including green, investments indicator for 2023 and 2024 has been recalculated proportionally to the Group's ownership stake in joint ventures. For more details, see Appendix 4, GRI 2-4.</t>
  </si>
  <si>
    <t>In the 2025 Report, the expenses on the research and development activities indicator for 2023 and 2024 has been recalculated proportionally to the Group's ownership stake in joint ventures. For more details, see Appendix 4, GRI 2-4.</t>
  </si>
  <si>
    <t>В Отчете за 2025 год произведен пересчет показателя общих расходов на научные исследования и (или) опытно-конструкторские разработки за 2023 и 2024 годы пропорционально доле владения Группы в совместных предприятиях. Подробнее см. в Приложении 4, показатель GRI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</si>
</sst>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_-;\-* #,##0.00_-;_-* &quot;-&quot;??_-;_-@_-"/>
    <numFmt numFmtId="164" formatCode="#,##0;[Red]\(#,##0\)"/>
    <numFmt numFmtId="165" formatCode="#,##0;[Red]#,##0"/>
    <numFmt numFmtId="166" formatCode="#,##0.00;[Red]#,##0.00"/>
    <numFmt numFmtId="167" formatCode="0.0"/>
    <numFmt numFmtId="168" formatCode="#,##0.000;[Red]#,##0.000"/>
    <numFmt numFmtId="169" formatCode="0.000"/>
    <numFmt numFmtId="170" formatCode="0.0000"/>
    <numFmt numFmtId="171" formatCode="#,##0.0;[Red]\(#,##0.0\)"/>
    <numFmt numFmtId="172" formatCode="#,##0.00;[Red]\(#,##0.00\)"/>
    <numFmt numFmtId="173" formatCode="#,##0.0"/>
    <numFmt numFmtId="174" formatCode="#,##0.0;[Red]#,##0.0"/>
    <numFmt numFmtId="175" formatCode="_-* #,##0_-;\-* #,##0_-;_-* &quot;-&quot;??_-;_-@_-"/>
    <numFmt numFmtId="176" formatCode="#,##0.0000;[Red]#,##0.0000"/>
    <numFmt numFmtId="177" formatCode="0.00000"/>
    <numFmt numFmtId="178" formatCode="#,##0.000"/>
    <numFmt numFmtId="179" formatCode="#,##0.0000"/>
    <numFmt numFmtId="180" formatCode="_(* #,##0_);_(* \(#,##0\);_(* &quot;-&quot;??_);_(@_)"/>
    <numFmt numFmtId="181" formatCode="#,##0.0_);[Red]\(#,##0.0\)"/>
    <numFmt numFmtId="182" formatCode="_-* #,##0\ _₽_-;\-* #,##0\ _₽_-;_-* &quot;-&quot;??\ _₽_-;_-@_-"/>
    <numFmt numFmtId="183" formatCode="#,##0.000000000;[Red]\(#,##0.000000000\)"/>
    <numFmt numFmtId="184" formatCode="#,##0.00000"/>
    <numFmt numFmtId="185" formatCode="0.0000%"/>
    <numFmt numFmtId="186" formatCode="#,##0.00000;[Red]#,##0.00000"/>
    <numFmt numFmtId="187" formatCode="_-* #,##0.00000_-;\-* #,##0.00000_-;_-* &quot;-&quot;??_-;_-@_-"/>
  </numFmts>
  <fonts count="117">
    <font>
      <sz val="11"/>
      <color theme="1"/>
      <name val="Calibri"/>
      <family val="2"/>
      <charset val="204"/>
      <scheme val="minor"/>
    </font>
    <font>
      <sz val="11"/>
      <color theme="1"/>
      <name val="Calibri"/>
      <family val="2"/>
      <scheme val="minor"/>
    </font>
    <font>
      <b/>
      <sz val="10"/>
      <color indexed="8"/>
      <name val="Arial"/>
      <family val="2"/>
    </font>
    <font>
      <i/>
      <sz val="12"/>
      <name val="Arial"/>
      <family val="2"/>
      <charset val="204"/>
    </font>
    <font>
      <b/>
      <sz val="14"/>
      <name val="Arial"/>
      <family val="2"/>
    </font>
    <font>
      <sz val="14"/>
      <name val="Arial"/>
      <family val="2"/>
    </font>
    <font>
      <sz val="14"/>
      <name val="Arial"/>
      <family val="2"/>
      <charset val="204"/>
    </font>
    <font>
      <b/>
      <sz val="14"/>
      <name val="Arial"/>
      <family val="2"/>
      <charset val="204"/>
    </font>
    <font>
      <i/>
      <sz val="10"/>
      <name val="Arial"/>
      <family val="2"/>
      <charset val="204"/>
    </font>
    <font>
      <b/>
      <i/>
      <sz val="12"/>
      <name val="Arial"/>
      <family val="2"/>
      <charset val="204"/>
    </font>
    <font>
      <sz val="12"/>
      <name val="Arial"/>
      <family val="2"/>
      <charset val="204"/>
    </font>
    <font>
      <i/>
      <sz val="10"/>
      <name val="Arial"/>
      <family val="2"/>
    </font>
    <font>
      <b/>
      <sz val="20"/>
      <name val="Arial"/>
      <family val="2"/>
      <charset val="204"/>
    </font>
    <font>
      <b/>
      <sz val="18"/>
      <name val="Arial"/>
      <family val="2"/>
      <charset val="204"/>
    </font>
    <font>
      <b/>
      <sz val="16"/>
      <name val="Arial"/>
      <family val="2"/>
      <charset val="204"/>
    </font>
    <font>
      <b/>
      <u/>
      <sz val="18"/>
      <name val="Arial"/>
      <family val="2"/>
      <charset val="204"/>
    </font>
    <font>
      <b/>
      <sz val="24"/>
      <name val="Arial"/>
      <family val="2"/>
      <charset val="204"/>
    </font>
    <font>
      <i/>
      <u/>
      <sz val="10"/>
      <name val="Arial"/>
      <family val="2"/>
      <charset val="204"/>
    </font>
    <font>
      <i/>
      <sz val="14"/>
      <name val="Arial"/>
      <family val="2"/>
      <charset val="204"/>
    </font>
    <font>
      <sz val="10"/>
      <name val="Arial"/>
      <family val="2"/>
      <charset val="204"/>
    </font>
    <font>
      <b/>
      <i/>
      <sz val="10"/>
      <name val="Arial"/>
      <family val="2"/>
      <charset val="204"/>
    </font>
    <font>
      <b/>
      <sz val="10"/>
      <name val="Arial"/>
      <family val="2"/>
      <charset val="204"/>
    </font>
    <font>
      <u/>
      <sz val="12"/>
      <name val="Arial"/>
      <family val="2"/>
      <charset val="204"/>
    </font>
    <font>
      <i/>
      <sz val="14"/>
      <name val="Arial"/>
      <family val="2"/>
    </font>
    <font>
      <b/>
      <i/>
      <sz val="14"/>
      <name val="Arial"/>
      <family val="2"/>
      <charset val="204"/>
    </font>
    <font>
      <sz val="11"/>
      <color theme="1"/>
      <name val="Calibri"/>
      <family val="2"/>
      <charset val="204"/>
      <scheme val="minor"/>
    </font>
    <font>
      <sz val="11"/>
      <color theme="0"/>
      <name val="Calibri"/>
      <family val="2"/>
      <charset val="204"/>
      <scheme val="minor"/>
    </font>
    <font>
      <u/>
      <sz val="11"/>
      <color theme="10"/>
      <name val="Calibri"/>
      <family val="2"/>
      <scheme val="minor"/>
    </font>
    <font>
      <sz val="11"/>
      <color theme="1"/>
      <name val="Calibri"/>
      <family val="2"/>
      <scheme val="minor"/>
    </font>
    <font>
      <b/>
      <sz val="11"/>
      <color rgb="FF055CAB"/>
      <name val="Arial"/>
      <family val="2"/>
    </font>
    <font>
      <sz val="11"/>
      <color rgb="FF055CAB"/>
      <name val="Arial"/>
      <family val="2"/>
    </font>
    <font>
      <u/>
      <sz val="11"/>
      <color theme="10"/>
      <name val="Arial"/>
      <family val="2"/>
      <charset val="204"/>
    </font>
    <font>
      <u/>
      <sz val="11"/>
      <color rgb="FF055CAB"/>
      <name val="Arial"/>
      <family val="2"/>
      <charset val="204"/>
    </font>
    <font>
      <b/>
      <sz val="36"/>
      <color rgb="FF0070C0"/>
      <name val="Arial Black"/>
      <family val="2"/>
      <charset val="204"/>
    </font>
    <font>
      <sz val="18"/>
      <color theme="1"/>
      <name val="Calibri"/>
      <family val="2"/>
      <charset val="204"/>
      <scheme val="minor"/>
    </font>
    <font>
      <sz val="14"/>
      <color theme="1"/>
      <name val="Arial"/>
      <family val="2"/>
      <charset val="204"/>
    </font>
    <font>
      <b/>
      <sz val="14"/>
      <color theme="0"/>
      <name val="Arial"/>
      <family val="2"/>
      <charset val="204"/>
    </font>
    <font>
      <sz val="9"/>
      <color theme="1"/>
      <name val="Arial"/>
      <family val="2"/>
      <charset val="204"/>
    </font>
    <font>
      <b/>
      <sz val="14"/>
      <color theme="1"/>
      <name val="Arial"/>
      <family val="2"/>
      <charset val="204"/>
    </font>
    <font>
      <b/>
      <sz val="10"/>
      <color theme="1"/>
      <name val="Arial"/>
      <family val="2"/>
    </font>
    <font>
      <b/>
      <sz val="10"/>
      <color theme="0"/>
      <name val="Arial"/>
      <family val="2"/>
    </font>
    <font>
      <b/>
      <sz val="14"/>
      <color rgb="FFFF0000"/>
      <name val="Arial"/>
      <family val="2"/>
      <charset val="204"/>
    </font>
    <font>
      <sz val="14"/>
      <color theme="0"/>
      <name val="Arial"/>
      <family val="2"/>
      <charset val="204"/>
    </font>
    <font>
      <i/>
      <sz val="10"/>
      <color theme="1"/>
      <name val="Arial"/>
      <family val="2"/>
      <charset val="204"/>
    </font>
    <font>
      <sz val="12"/>
      <color theme="1"/>
      <name val="Arial"/>
      <family val="2"/>
      <charset val="204"/>
    </font>
    <font>
      <i/>
      <sz val="12"/>
      <color theme="1"/>
      <name val="Arial"/>
      <family val="2"/>
      <charset val="204"/>
    </font>
    <font>
      <sz val="14"/>
      <color theme="1"/>
      <name val="Arial"/>
      <family val="2"/>
    </font>
    <font>
      <sz val="14"/>
      <color theme="1"/>
      <name val="Calibri"/>
      <family val="2"/>
      <charset val="204"/>
      <scheme val="minor"/>
    </font>
    <font>
      <sz val="14"/>
      <color rgb="FF000000"/>
      <name val="Arial"/>
      <family val="2"/>
      <charset val="204"/>
    </font>
    <font>
      <i/>
      <sz val="12"/>
      <color theme="0"/>
      <name val="Arial"/>
      <family val="2"/>
      <charset val="204"/>
    </font>
    <font>
      <i/>
      <sz val="10"/>
      <color theme="0"/>
      <name val="Arial"/>
      <family val="2"/>
      <charset val="204"/>
    </font>
    <font>
      <sz val="12"/>
      <color theme="1"/>
      <name val="Calibri"/>
      <family val="2"/>
      <charset val="204"/>
      <scheme val="minor"/>
    </font>
    <font>
      <sz val="14"/>
      <color rgb="FFFF0000"/>
      <name val="Arial"/>
      <family val="2"/>
      <charset val="204"/>
    </font>
    <font>
      <b/>
      <sz val="14"/>
      <color theme="1"/>
      <name val="Arial"/>
      <family val="2"/>
    </font>
    <font>
      <sz val="14"/>
      <color theme="0"/>
      <name val="Arial"/>
      <family val="2"/>
    </font>
    <font>
      <sz val="11"/>
      <color theme="1"/>
      <name val="Univers for BP"/>
      <family val="2"/>
    </font>
    <font>
      <u/>
      <sz val="12"/>
      <color theme="10"/>
      <name val="Arial"/>
      <family val="2"/>
      <charset val="204"/>
    </font>
    <font>
      <b/>
      <sz val="11"/>
      <color theme="1"/>
      <name val="Univers for BP"/>
      <family val="2"/>
    </font>
    <font>
      <b/>
      <u/>
      <sz val="18"/>
      <name val="Calibri"/>
      <family val="2"/>
      <charset val="204"/>
      <scheme val="minor"/>
    </font>
    <font>
      <u/>
      <sz val="14"/>
      <color theme="10"/>
      <name val="Arial"/>
      <family val="2"/>
      <charset val="204"/>
    </font>
    <font>
      <sz val="9"/>
      <color theme="0"/>
      <name val="Arial"/>
      <family val="2"/>
      <charset val="204"/>
    </font>
    <font>
      <sz val="10"/>
      <color theme="1"/>
      <name val="Calibri"/>
      <family val="2"/>
      <charset val="204"/>
      <scheme val="minor"/>
    </font>
    <font>
      <b/>
      <sz val="22"/>
      <color rgb="FF055CAB"/>
      <name val="Arial"/>
      <family val="2"/>
    </font>
    <font>
      <b/>
      <sz val="14"/>
      <color rgb="FFFFFFFF"/>
      <name val="Arial"/>
      <family val="2"/>
      <charset val="204"/>
    </font>
    <font>
      <i/>
      <sz val="10"/>
      <color theme="1"/>
      <name val="Calibri"/>
      <family val="2"/>
      <charset val="204"/>
      <scheme val="minor"/>
    </font>
    <font>
      <i/>
      <sz val="10"/>
      <color theme="1"/>
      <name val="Arial"/>
      <family val="2"/>
    </font>
    <font>
      <i/>
      <sz val="10"/>
      <color rgb="FFFF0000"/>
      <name val="Arial"/>
      <family val="2"/>
    </font>
    <font>
      <b/>
      <sz val="13"/>
      <color theme="0"/>
      <name val="Arial"/>
      <family val="2"/>
      <charset val="204"/>
    </font>
    <font>
      <b/>
      <i/>
      <sz val="10"/>
      <color theme="1"/>
      <name val="Arial"/>
      <family val="2"/>
      <charset val="204"/>
    </font>
    <font>
      <i/>
      <sz val="10"/>
      <color rgb="FF000000"/>
      <name val="Arial"/>
      <family val="2"/>
      <charset val="204"/>
    </font>
    <font>
      <sz val="10"/>
      <color theme="0"/>
      <name val="Arial"/>
      <family val="2"/>
      <charset val="204"/>
    </font>
    <font>
      <sz val="10"/>
      <color theme="0"/>
      <name val="Tahoma"/>
      <family val="2"/>
      <charset val="204"/>
    </font>
    <font>
      <b/>
      <sz val="10"/>
      <color theme="0"/>
      <name val="Arial"/>
      <family val="2"/>
      <charset val="204"/>
    </font>
    <font>
      <sz val="14"/>
      <color rgb="FFFFFFFF"/>
      <name val="Arial"/>
      <family val="2"/>
      <charset val="204"/>
    </font>
    <font>
      <i/>
      <sz val="14"/>
      <color theme="0"/>
      <name val="Arial"/>
      <family val="2"/>
      <charset val="204"/>
    </font>
    <font>
      <b/>
      <i/>
      <sz val="10"/>
      <color theme="0"/>
      <name val="Arial"/>
      <family val="2"/>
      <charset val="204"/>
    </font>
    <font>
      <sz val="12"/>
      <color theme="0"/>
      <name val="Arial"/>
      <family val="2"/>
      <charset val="204"/>
    </font>
    <font>
      <sz val="12"/>
      <color rgb="FFFF0000"/>
      <name val="Arial"/>
      <family val="2"/>
      <charset val="204"/>
    </font>
    <font>
      <sz val="14"/>
      <color theme="1"/>
      <name val="Tahoma"/>
      <family val="2"/>
      <charset val="204"/>
    </font>
    <font>
      <u/>
      <sz val="10"/>
      <color theme="10"/>
      <name val="Arial"/>
      <family val="2"/>
      <charset val="204"/>
    </font>
    <font>
      <sz val="10"/>
      <color theme="1"/>
      <name val="Arial"/>
      <family val="2"/>
      <charset val="204"/>
    </font>
    <font>
      <sz val="10"/>
      <color rgb="FFFF0000"/>
      <name val="Arial"/>
      <family val="2"/>
      <charset val="204"/>
    </font>
    <font>
      <u/>
      <sz val="10"/>
      <color rgb="FF0070C0"/>
      <name val="Arial"/>
      <family val="2"/>
      <charset val="204"/>
    </font>
    <font>
      <sz val="22"/>
      <color theme="10"/>
      <name val="Arial"/>
      <family val="2"/>
      <charset val="204"/>
    </font>
    <font>
      <sz val="22"/>
      <color theme="4" tint="-0.249977111117893"/>
      <name val="Arial"/>
      <family val="2"/>
      <charset val="204"/>
    </font>
    <font>
      <u/>
      <sz val="10"/>
      <color theme="0"/>
      <name val="Arial"/>
      <family val="2"/>
      <charset val="204"/>
    </font>
    <font>
      <u/>
      <sz val="14"/>
      <color theme="1"/>
      <name val="Arial"/>
      <family val="2"/>
    </font>
    <font>
      <u/>
      <sz val="14"/>
      <color rgb="FFFF0000"/>
      <name val="Arial"/>
      <family val="2"/>
      <charset val="204"/>
    </font>
    <font>
      <u/>
      <sz val="14"/>
      <color theme="1"/>
      <name val="Calibri"/>
      <family val="2"/>
      <charset val="204"/>
      <scheme val="minor"/>
    </font>
    <font>
      <sz val="12"/>
      <color theme="8"/>
      <name val="Arial"/>
      <family val="2"/>
      <charset val="204"/>
    </font>
    <font>
      <b/>
      <sz val="12"/>
      <color theme="0"/>
      <name val="Arial"/>
      <family val="2"/>
      <charset val="204"/>
    </font>
    <font>
      <sz val="10"/>
      <color rgb="FFFFFFFF"/>
      <name val="Arial"/>
      <family val="2"/>
      <charset val="204"/>
    </font>
    <font>
      <u/>
      <sz val="12"/>
      <color rgb="FF0070C0"/>
      <name val="Arial"/>
      <family val="2"/>
      <charset val="204"/>
    </font>
    <font>
      <i/>
      <sz val="14"/>
      <color theme="1"/>
      <name val="Arial"/>
      <family val="2"/>
      <charset val="204"/>
    </font>
    <font>
      <i/>
      <sz val="11"/>
      <color theme="1"/>
      <name val="Calibri"/>
      <family val="2"/>
      <charset val="204"/>
      <scheme val="minor"/>
    </font>
    <font>
      <i/>
      <sz val="11"/>
      <color theme="0"/>
      <name val="Calibri"/>
      <family val="2"/>
      <charset val="204"/>
      <scheme val="minor"/>
    </font>
    <font>
      <b/>
      <i/>
      <sz val="10"/>
      <color theme="1"/>
      <name val="Arial"/>
      <family val="2"/>
    </font>
    <font>
      <b/>
      <i/>
      <sz val="10"/>
      <color theme="0"/>
      <name val="Arial"/>
      <family val="2"/>
    </font>
    <font>
      <i/>
      <sz val="9"/>
      <color theme="1"/>
      <name val="Arial"/>
      <family val="2"/>
      <charset val="204"/>
    </font>
    <font>
      <i/>
      <sz val="14"/>
      <color rgb="FFFF0000"/>
      <name val="Arial"/>
      <family val="2"/>
      <charset val="204"/>
    </font>
    <font>
      <i/>
      <sz val="9"/>
      <color theme="0"/>
      <name val="Arial"/>
      <family val="2"/>
      <charset val="204"/>
    </font>
    <font>
      <i/>
      <sz val="14"/>
      <color theme="0"/>
      <name val="Arial"/>
      <family val="2"/>
    </font>
    <font>
      <b/>
      <i/>
      <sz val="14"/>
      <color theme="0"/>
      <name val="Arial"/>
      <family val="2"/>
      <charset val="204"/>
    </font>
    <font>
      <i/>
      <sz val="14"/>
      <color theme="1"/>
      <name val="Calibri"/>
      <family val="2"/>
      <charset val="204"/>
      <scheme val="minor"/>
    </font>
    <font>
      <b/>
      <i/>
      <sz val="10"/>
      <color rgb="FFFF0000"/>
      <name val="Arial"/>
      <family val="2"/>
      <charset val="204"/>
    </font>
    <font>
      <b/>
      <sz val="12"/>
      <color theme="1"/>
      <name val="Calibri"/>
      <family val="2"/>
      <charset val="204"/>
      <scheme val="minor"/>
    </font>
    <font>
      <sz val="11"/>
      <color theme="1"/>
      <name val="Arial"/>
      <family val="2"/>
      <charset val="204"/>
    </font>
    <font>
      <sz val="12"/>
      <color rgb="FF000000"/>
      <name val="Times New Roman"/>
      <family val="1"/>
      <charset val="204"/>
    </font>
    <font>
      <i/>
      <sz val="12"/>
      <color rgb="FF000000"/>
      <name val="Times New Roman"/>
      <family val="1"/>
      <charset val="204"/>
    </font>
    <font>
      <b/>
      <sz val="12"/>
      <color rgb="FF000000"/>
      <name val="Times New Roman"/>
      <family val="1"/>
      <charset val="204"/>
    </font>
    <font>
      <i/>
      <sz val="12"/>
      <name val="Times New Roman"/>
      <family val="1"/>
      <charset val="204"/>
    </font>
    <font>
      <sz val="8"/>
      <name val="Calibri"/>
      <family val="2"/>
      <charset val="204"/>
      <scheme val="minor"/>
    </font>
    <font>
      <i/>
      <sz val="11"/>
      <color theme="1"/>
      <name val="Arial"/>
      <family val="2"/>
      <charset val="204"/>
    </font>
    <font>
      <i/>
      <sz val="11"/>
      <color rgb="FFFF0000"/>
      <name val="Arial"/>
      <family val="2"/>
      <charset val="204"/>
    </font>
    <font>
      <sz val="11"/>
      <color theme="0"/>
      <name val="Arial"/>
      <family val="2"/>
      <charset val="204"/>
    </font>
    <font>
      <i/>
      <sz val="11"/>
      <name val="Arial"/>
      <family val="2"/>
      <charset val="204"/>
    </font>
    <font>
      <b/>
      <i/>
      <sz val="11"/>
      <color theme="1"/>
      <name val="Arial"/>
      <family val="2"/>
      <charset val="204"/>
    </font>
  </fonts>
  <fills count="2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rgb="FF3F79BD"/>
        <bgColor indexed="64"/>
      </patternFill>
    </fill>
    <fill>
      <patternFill patternType="solid">
        <fgColor rgb="FF859DC0"/>
        <bgColor indexed="64"/>
      </patternFill>
    </fill>
    <fill>
      <patternFill patternType="solid">
        <fgColor theme="2"/>
        <bgColor indexed="64"/>
      </patternFill>
    </fill>
    <fill>
      <patternFill patternType="solid">
        <fgColor theme="4" tint="0.59999389629810485"/>
        <bgColor indexed="64"/>
      </patternFill>
    </fill>
    <fill>
      <patternFill patternType="solid">
        <fgColor rgb="FFBDD7EE"/>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2"/>
        <bgColor rgb="FF000000"/>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bgColor indexed="64"/>
      </patternFill>
    </fill>
    <fill>
      <patternFill patternType="solid">
        <fgColor rgb="FF3F79BD"/>
        <bgColor rgb="FF000000"/>
      </patternFill>
    </fill>
    <fill>
      <patternFill patternType="solid">
        <fgColor theme="9" tint="0.79998168889431442"/>
        <bgColor indexed="64"/>
      </patternFill>
    </fill>
    <fill>
      <patternFill patternType="solid">
        <fgColor rgb="FFDDEBF7"/>
        <bgColor rgb="FF000000"/>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2" tint="-9.9978637043366805E-2"/>
        <bgColor indexed="64"/>
      </patternFill>
    </fill>
  </fills>
  <borders count="5">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19">
    <xf numFmtId="0" fontId="0" fillId="0" borderId="0"/>
    <xf numFmtId="43" fontId="25" fillId="0" borderId="0" applyFont="0" applyFill="0" applyBorder="0" applyAlignment="0" applyProtection="0"/>
    <xf numFmtId="43" fontId="25" fillId="0" borderId="0" applyFont="0" applyFill="0" applyBorder="0" applyAlignment="0" applyProtection="0"/>
    <xf numFmtId="0" fontId="2" fillId="2" borderId="1"/>
    <xf numFmtId="0" fontId="27" fillId="0" borderId="0" applyNumberFormat="0" applyFill="0" applyBorder="0" applyAlignment="0" applyProtection="0"/>
    <xf numFmtId="0" fontId="25" fillId="0" borderId="0"/>
    <xf numFmtId="9" fontId="25" fillId="0" borderId="0" applyFont="0" applyFill="0" applyBorder="0" applyAlignment="0" applyProtection="0"/>
    <xf numFmtId="0" fontId="25" fillId="0" borderId="0"/>
    <xf numFmtId="0" fontId="28" fillId="0" borderId="0"/>
    <xf numFmtId="43" fontId="25"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9" fillId="0" borderId="0"/>
    <xf numFmtId="9" fontId="1" fillId="0" borderId="0" applyFont="0" applyFill="0" applyBorder="0" applyAlignment="0" applyProtection="0"/>
    <xf numFmtId="0" fontId="25" fillId="0" borderId="0"/>
    <xf numFmtId="0" fontId="25" fillId="0" borderId="0"/>
    <xf numFmtId="0" fontId="25" fillId="0" borderId="0"/>
    <xf numFmtId="0" fontId="25" fillId="0" borderId="0"/>
  </cellStyleXfs>
  <cellXfs count="946">
    <xf numFmtId="0" fontId="0" fillId="0" borderId="0" xfId="0"/>
    <xf numFmtId="0" fontId="0" fillId="3" borderId="0" xfId="0" applyFill="1"/>
    <xf numFmtId="0" fontId="29" fillId="3" borderId="2" xfId="0" applyFont="1" applyFill="1" applyBorder="1" applyAlignment="1">
      <alignment vertical="center"/>
    </xf>
    <xf numFmtId="0" fontId="30" fillId="3" borderId="0" xfId="0" quotePrefix="1" applyFont="1" applyFill="1"/>
    <xf numFmtId="0" fontId="31" fillId="3" borderId="0" xfId="4" quotePrefix="1" applyFont="1" applyFill="1" applyAlignment="1">
      <alignment horizontal="left"/>
    </xf>
    <xf numFmtId="0" fontId="32" fillId="3" borderId="0" xfId="4" applyFont="1" applyFill="1"/>
    <xf numFmtId="0" fontId="26" fillId="3" borderId="0" xfId="0" applyFont="1" applyFill="1"/>
    <xf numFmtId="0" fontId="0" fillId="3" borderId="0" xfId="0" applyFill="1" applyAlignment="1">
      <alignment horizontal="center"/>
    </xf>
    <xf numFmtId="0" fontId="33" fillId="3" borderId="0" xfId="0" applyFont="1" applyFill="1" applyAlignment="1">
      <alignment horizontal="left" vertical="center"/>
    </xf>
    <xf numFmtId="0" fontId="34" fillId="3" borderId="0" xfId="0" applyFont="1" applyFill="1"/>
    <xf numFmtId="164" fontId="5" fillId="3" borderId="0" xfId="0" applyNumberFormat="1" applyFont="1" applyFill="1" applyAlignment="1">
      <alignment horizontal="right" vertical="center"/>
    </xf>
    <xf numFmtId="37" fontId="5" fillId="3" borderId="0" xfId="0" applyNumberFormat="1" applyFont="1" applyFill="1" applyAlignment="1">
      <alignment horizontal="left" vertical="center" indent="2"/>
    </xf>
    <xf numFmtId="0" fontId="8" fillId="3" borderId="0" xfId="0" applyFont="1" applyFill="1" applyAlignment="1">
      <alignment horizontal="left" vertical="center"/>
    </xf>
    <xf numFmtId="0" fontId="8" fillId="4" borderId="0" xfId="0" applyFont="1" applyFill="1" applyAlignment="1">
      <alignment horizontal="left" vertical="center"/>
    </xf>
    <xf numFmtId="0" fontId="35" fillId="3" borderId="0" xfId="5" applyFont="1" applyFill="1"/>
    <xf numFmtId="0" fontId="35" fillId="3" borderId="0" xfId="5" applyFont="1" applyFill="1" applyAlignment="1">
      <alignment horizontal="left" vertical="center"/>
    </xf>
    <xf numFmtId="0" fontId="35" fillId="3" borderId="0" xfId="5" applyFont="1" applyFill="1" applyAlignment="1">
      <alignment horizontal="right"/>
    </xf>
    <xf numFmtId="0" fontId="35" fillId="3" borderId="0" xfId="5" applyFont="1" applyFill="1" applyAlignment="1">
      <alignment vertical="center"/>
    </xf>
    <xf numFmtId="0" fontId="36" fillId="5" borderId="0" xfId="7" applyFont="1" applyFill="1" applyAlignment="1">
      <alignment horizontal="left" vertical="center"/>
    </xf>
    <xf numFmtId="49" fontId="36" fillId="6" borderId="0" xfId="5" applyNumberFormat="1" applyFont="1" applyFill="1" applyAlignment="1">
      <alignment horizontal="left" vertical="center"/>
    </xf>
    <xf numFmtId="0" fontId="36" fillId="6" borderId="0" xfId="5" applyFont="1" applyFill="1" applyAlignment="1">
      <alignment horizontal="right" vertical="center"/>
    </xf>
    <xf numFmtId="1" fontId="36" fillId="6" borderId="0" xfId="5" applyNumberFormat="1" applyFont="1" applyFill="1" applyAlignment="1">
      <alignment horizontal="right" vertical="center"/>
    </xf>
    <xf numFmtId="0" fontId="37" fillId="3" borderId="0" xfId="5" applyFont="1" applyFill="1" applyAlignment="1">
      <alignment wrapText="1"/>
    </xf>
    <xf numFmtId="0" fontId="6" fillId="4" borderId="0" xfId="5" applyFont="1" applyFill="1" applyAlignment="1">
      <alignment horizontal="left" vertical="center" indent="2"/>
    </xf>
    <xf numFmtId="166" fontId="6" fillId="7" borderId="0" xfId="7" applyNumberFormat="1" applyFont="1" applyFill="1" applyAlignment="1">
      <alignment horizontal="right" vertical="center"/>
    </xf>
    <xf numFmtId="37" fontId="9" fillId="3" borderId="0" xfId="7" applyNumberFormat="1" applyFont="1" applyFill="1" applyAlignment="1">
      <alignment vertical="center"/>
    </xf>
    <xf numFmtId="37" fontId="3" fillId="3" borderId="0" xfId="7" applyNumberFormat="1" applyFont="1" applyFill="1" applyAlignment="1">
      <alignment vertical="center"/>
    </xf>
    <xf numFmtId="1" fontId="6" fillId="7" borderId="0" xfId="5" applyNumberFormat="1" applyFont="1" applyFill="1" applyAlignment="1">
      <alignment horizontal="right" vertical="center"/>
    </xf>
    <xf numFmtId="167" fontId="6" fillId="7" borderId="0" xfId="5" applyNumberFormat="1" applyFont="1" applyFill="1" applyAlignment="1">
      <alignment horizontal="right" vertical="center"/>
    </xf>
    <xf numFmtId="0" fontId="6" fillId="3" borderId="0" xfId="5" applyFont="1" applyFill="1" applyAlignment="1">
      <alignment horizontal="right" vertical="center"/>
    </xf>
    <xf numFmtId="0" fontId="35" fillId="3" borderId="3" xfId="5" applyFont="1" applyFill="1" applyBorder="1"/>
    <xf numFmtId="0" fontId="35" fillId="3" borderId="3" xfId="5" applyFont="1" applyFill="1" applyBorder="1" applyAlignment="1">
      <alignment horizontal="left" vertical="center"/>
    </xf>
    <xf numFmtId="0" fontId="35" fillId="3" borderId="3" xfId="5" applyFont="1" applyFill="1" applyBorder="1" applyAlignment="1">
      <alignment horizontal="right"/>
    </xf>
    <xf numFmtId="0" fontId="38" fillId="3" borderId="0" xfId="5" applyFont="1" applyFill="1" applyAlignment="1">
      <alignment wrapText="1"/>
    </xf>
    <xf numFmtId="37" fontId="6" fillId="3" borderId="0" xfId="5" applyNumberFormat="1" applyFont="1" applyFill="1" applyAlignment="1">
      <alignment vertical="top"/>
    </xf>
    <xf numFmtId="0" fontId="39" fillId="3" borderId="0" xfId="5" applyFont="1" applyFill="1" applyAlignment="1">
      <alignment vertical="top" wrapText="1"/>
    </xf>
    <xf numFmtId="0" fontId="40" fillId="3" borderId="0" xfId="5" applyFont="1" applyFill="1" applyAlignment="1">
      <alignment horizontal="center" vertical="center" wrapText="1"/>
    </xf>
    <xf numFmtId="0" fontId="35" fillId="3" borderId="0" xfId="5" applyFont="1" applyFill="1" applyAlignment="1">
      <alignment horizontal="right" vertical="center"/>
    </xf>
    <xf numFmtId="3" fontId="6" fillId="3" borderId="0" xfId="5" applyNumberFormat="1" applyFont="1" applyFill="1" applyAlignment="1">
      <alignment horizontal="right" vertical="center"/>
    </xf>
    <xf numFmtId="0" fontId="8" fillId="3" borderId="0" xfId="5" applyFont="1" applyFill="1" applyAlignment="1">
      <alignment horizontal="right" vertical="center"/>
    </xf>
    <xf numFmtId="49" fontId="41" fillId="3" borderId="0" xfId="5" applyNumberFormat="1" applyFont="1" applyFill="1" applyAlignment="1">
      <alignment horizontal="right" vertical="center"/>
    </xf>
    <xf numFmtId="0" fontId="6" fillId="3" borderId="0" xfId="0" applyFont="1" applyFill="1" applyAlignment="1">
      <alignment horizontal="left" vertical="center" indent="2"/>
    </xf>
    <xf numFmtId="0" fontId="8" fillId="8" borderId="0" xfId="0" applyFont="1" applyFill="1" applyAlignment="1">
      <alignment horizontal="left" vertical="center"/>
    </xf>
    <xf numFmtId="0" fontId="35" fillId="3" borderId="0" xfId="7" applyFont="1" applyFill="1"/>
    <xf numFmtId="49" fontId="36" fillId="5" borderId="0" xfId="7" applyNumberFormat="1" applyFont="1" applyFill="1" applyAlignment="1">
      <alignment horizontal="left" vertical="center"/>
    </xf>
    <xf numFmtId="0" fontId="36" fillId="5" borderId="0" xfId="5" applyFont="1" applyFill="1" applyAlignment="1">
      <alignment horizontal="left" vertical="center"/>
    </xf>
    <xf numFmtId="3" fontId="35" fillId="3" borderId="0" xfId="5" applyNumberFormat="1" applyFont="1" applyFill="1" applyAlignment="1">
      <alignment horizontal="right" vertical="center"/>
    </xf>
    <xf numFmtId="0" fontId="42" fillId="5" borderId="0" xfId="5" applyFont="1" applyFill="1" applyAlignment="1">
      <alignment vertical="center"/>
    </xf>
    <xf numFmtId="37" fontId="7" fillId="8" borderId="0" xfId="5" applyNumberFormat="1" applyFont="1" applyFill="1" applyAlignment="1">
      <alignment horizontal="left" vertical="center" wrapText="1"/>
    </xf>
    <xf numFmtId="0" fontId="43" fillId="8" borderId="0" xfId="5" applyFont="1" applyFill="1" applyAlignment="1">
      <alignment horizontal="left" vertical="center"/>
    </xf>
    <xf numFmtId="3" fontId="5" fillId="9" borderId="0" xfId="0" applyNumberFormat="1" applyFont="1" applyFill="1" applyAlignment="1">
      <alignment horizontal="right" vertical="center"/>
    </xf>
    <xf numFmtId="3" fontId="5" fillId="8" borderId="0" xfId="2" applyNumberFormat="1" applyFont="1" applyFill="1" applyAlignment="1" applyProtection="1">
      <alignment horizontal="right" vertical="center"/>
    </xf>
    <xf numFmtId="37" fontId="6" fillId="3" borderId="0" xfId="5" applyNumberFormat="1" applyFont="1" applyFill="1" applyAlignment="1">
      <alignment horizontal="left" vertical="center" wrapText="1"/>
    </xf>
    <xf numFmtId="0" fontId="43" fillId="3" borderId="0" xfId="5" applyFont="1" applyFill="1" applyAlignment="1">
      <alignment horizontal="left" vertical="center"/>
    </xf>
    <xf numFmtId="171" fontId="6" fillId="3" borderId="0" xfId="0" applyNumberFormat="1" applyFont="1" applyFill="1" applyAlignment="1">
      <alignment horizontal="right" vertical="center"/>
    </xf>
    <xf numFmtId="166" fontId="8" fillId="3" borderId="0" xfId="7" applyNumberFormat="1" applyFont="1" applyFill="1" applyAlignment="1">
      <alignment horizontal="right" vertical="center"/>
    </xf>
    <xf numFmtId="0" fontId="8" fillId="3" borderId="0" xfId="7" applyFont="1" applyFill="1" applyAlignment="1">
      <alignment horizontal="right" vertical="center"/>
    </xf>
    <xf numFmtId="37" fontId="7" fillId="3" borderId="0" xfId="5" applyNumberFormat="1" applyFont="1" applyFill="1" applyAlignment="1">
      <alignment horizontal="left" vertical="center" wrapText="1"/>
    </xf>
    <xf numFmtId="165" fontId="6" fillId="3" borderId="0" xfId="7" applyNumberFormat="1" applyFont="1" applyFill="1" applyAlignment="1">
      <alignment horizontal="right" vertical="center"/>
    </xf>
    <xf numFmtId="49" fontId="36" fillId="3" borderId="0" xfId="7" applyNumberFormat="1" applyFont="1" applyFill="1" applyAlignment="1">
      <alignment horizontal="right" vertical="center"/>
    </xf>
    <xf numFmtId="49" fontId="8" fillId="3" borderId="0" xfId="7" applyNumberFormat="1" applyFont="1" applyFill="1" applyAlignment="1">
      <alignment horizontal="right" vertical="center"/>
    </xf>
    <xf numFmtId="0" fontId="45" fillId="3" borderId="0" xfId="7" applyFont="1" applyFill="1" applyAlignment="1">
      <alignment horizontal="left" vertical="center"/>
    </xf>
    <xf numFmtId="164" fontId="10" fillId="3" borderId="0" xfId="7" applyNumberFormat="1" applyFont="1" applyFill="1" applyAlignment="1">
      <alignment horizontal="right" vertical="center"/>
    </xf>
    <xf numFmtId="165" fontId="10" fillId="0" borderId="0" xfId="7" applyNumberFormat="1" applyFont="1" applyAlignment="1">
      <alignment horizontal="right" vertical="center"/>
    </xf>
    <xf numFmtId="166" fontId="6" fillId="3" borderId="0" xfId="7" applyNumberFormat="1" applyFont="1" applyFill="1" applyAlignment="1">
      <alignment horizontal="right" vertical="center"/>
    </xf>
    <xf numFmtId="37" fontId="3" fillId="3" borderId="0" xfId="7" applyNumberFormat="1" applyFont="1" applyFill="1" applyAlignment="1">
      <alignment horizontal="left" vertical="center"/>
    </xf>
    <xf numFmtId="37" fontId="3" fillId="3" borderId="0" xfId="7" applyNumberFormat="1" applyFont="1" applyFill="1" applyAlignment="1">
      <alignment horizontal="right" vertical="center"/>
    </xf>
    <xf numFmtId="167" fontId="6" fillId="3" borderId="0" xfId="0" applyNumberFormat="1" applyFont="1" applyFill="1" applyAlignment="1">
      <alignment horizontal="right" vertical="center"/>
    </xf>
    <xf numFmtId="167" fontId="6" fillId="7" borderId="0" xfId="7" applyNumberFormat="1" applyFont="1" applyFill="1" applyAlignment="1">
      <alignment horizontal="right" vertical="center"/>
    </xf>
    <xf numFmtId="167" fontId="46" fillId="4" borderId="0" xfId="0" applyNumberFormat="1" applyFont="1" applyFill="1" applyAlignment="1">
      <alignment horizontal="right" vertical="center"/>
    </xf>
    <xf numFmtId="168" fontId="6" fillId="7" borderId="0" xfId="7" applyNumberFormat="1" applyFont="1" applyFill="1" applyAlignment="1">
      <alignment horizontal="right" vertical="center"/>
    </xf>
    <xf numFmtId="165" fontId="8" fillId="3" borderId="0" xfId="7" applyNumberFormat="1" applyFont="1" applyFill="1" applyAlignment="1">
      <alignment horizontal="right" vertical="center"/>
    </xf>
    <xf numFmtId="174" fontId="6" fillId="3" borderId="0" xfId="0" applyNumberFormat="1" applyFont="1" applyFill="1" applyAlignment="1">
      <alignment horizontal="right" vertical="center"/>
    </xf>
    <xf numFmtId="167" fontId="47" fillId="4" borderId="0" xfId="0" applyNumberFormat="1" applyFont="1" applyFill="1" applyAlignment="1">
      <alignment horizontal="right" vertical="center"/>
    </xf>
    <xf numFmtId="165" fontId="6" fillId="3" borderId="0" xfId="0" applyNumberFormat="1" applyFont="1" applyFill="1" applyAlignment="1">
      <alignment horizontal="right" vertical="center"/>
    </xf>
    <xf numFmtId="37" fontId="7" fillId="8" borderId="0" xfId="7" applyNumberFormat="1" applyFont="1" applyFill="1" applyAlignment="1">
      <alignment horizontal="left" vertical="center"/>
    </xf>
    <xf numFmtId="0" fontId="11" fillId="3" borderId="0" xfId="0" applyFont="1" applyFill="1" applyAlignment="1">
      <alignment horizontal="left" vertical="center"/>
    </xf>
    <xf numFmtId="0" fontId="43" fillId="4" borderId="0" xfId="5" applyFont="1" applyFill="1" applyAlignment="1">
      <alignment horizontal="left" vertical="center"/>
    </xf>
    <xf numFmtId="37" fontId="6" fillId="3" borderId="0" xfId="5" applyNumberFormat="1" applyFont="1" applyFill="1" applyAlignment="1">
      <alignment horizontal="left" vertical="center" indent="2"/>
    </xf>
    <xf numFmtId="181" fontId="5" fillId="3" borderId="0" xfId="0" applyNumberFormat="1" applyFont="1" applyFill="1" applyAlignment="1" applyProtection="1">
      <alignment horizontal="right" vertical="center"/>
      <protection locked="0"/>
    </xf>
    <xf numFmtId="2" fontId="6" fillId="10" borderId="0" xfId="0" applyNumberFormat="1" applyFont="1" applyFill="1" applyAlignment="1">
      <alignment horizontal="right" vertical="center"/>
    </xf>
    <xf numFmtId="0" fontId="48" fillId="10" borderId="0" xfId="0" applyFont="1" applyFill="1" applyAlignment="1">
      <alignment horizontal="right" vertical="center"/>
    </xf>
    <xf numFmtId="0" fontId="6" fillId="10" borderId="0" xfId="0" applyFont="1" applyFill="1" applyAlignment="1">
      <alignment horizontal="right" vertical="center"/>
    </xf>
    <xf numFmtId="40" fontId="5" fillId="3" borderId="0" xfId="0" applyNumberFormat="1" applyFont="1" applyFill="1" applyAlignment="1" applyProtection="1">
      <alignment horizontal="right" vertical="center"/>
      <protection locked="0"/>
    </xf>
    <xf numFmtId="0" fontId="6" fillId="11" borderId="0" xfId="0" applyFont="1" applyFill="1" applyAlignment="1">
      <alignment horizontal="right" vertical="center"/>
    </xf>
    <xf numFmtId="3" fontId="6" fillId="4" borderId="0" xfId="5" applyNumberFormat="1" applyFont="1" applyFill="1" applyAlignment="1">
      <alignment horizontal="right" vertical="center"/>
    </xf>
    <xf numFmtId="40" fontId="48" fillId="12" borderId="0" xfId="0" applyNumberFormat="1" applyFont="1" applyFill="1" applyAlignment="1">
      <alignment horizontal="right" vertical="center"/>
    </xf>
    <xf numFmtId="37" fontId="6" fillId="3" borderId="0" xfId="5" applyNumberFormat="1" applyFont="1" applyFill="1" applyAlignment="1">
      <alignment horizontal="left" vertical="center" wrapText="1" indent="2"/>
    </xf>
    <xf numFmtId="38" fontId="5" fillId="3" borderId="0" xfId="0" applyNumberFormat="1" applyFont="1" applyFill="1" applyAlignment="1" applyProtection="1">
      <alignment horizontal="right" vertical="center"/>
      <protection locked="0"/>
    </xf>
    <xf numFmtId="3" fontId="6" fillId="7" borderId="0" xfId="5" applyNumberFormat="1" applyFont="1" applyFill="1" applyAlignment="1">
      <alignment horizontal="right" vertical="center"/>
    </xf>
    <xf numFmtId="3" fontId="48" fillId="10" borderId="0" xfId="0" applyNumberFormat="1" applyFont="1" applyFill="1" applyAlignment="1">
      <alignment horizontal="right" vertical="center"/>
    </xf>
    <xf numFmtId="3" fontId="6" fillId="10" borderId="0" xfId="0" applyNumberFormat="1" applyFont="1" applyFill="1" applyAlignment="1">
      <alignment horizontal="right" vertical="center"/>
    </xf>
    <xf numFmtId="3" fontId="6" fillId="11" borderId="0" xfId="0" applyNumberFormat="1" applyFont="1" applyFill="1" applyAlignment="1">
      <alignment horizontal="right" vertical="center"/>
    </xf>
    <xf numFmtId="37" fontId="5" fillId="3" borderId="0" xfId="5" applyNumberFormat="1" applyFont="1" applyFill="1" applyAlignment="1">
      <alignment horizontal="left" vertical="center" indent="2"/>
    </xf>
    <xf numFmtId="4" fontId="6" fillId="7" borderId="0" xfId="5" applyNumberFormat="1" applyFont="1" applyFill="1" applyAlignment="1">
      <alignment horizontal="right" vertical="center"/>
    </xf>
    <xf numFmtId="3" fontId="48" fillId="13" borderId="0" xfId="0" applyNumberFormat="1" applyFont="1" applyFill="1" applyAlignment="1">
      <alignment horizontal="right" vertical="center"/>
    </xf>
    <xf numFmtId="3" fontId="48" fillId="12" borderId="0" xfId="0" applyNumberFormat="1" applyFont="1" applyFill="1" applyAlignment="1">
      <alignment horizontal="right" vertical="center"/>
    </xf>
    <xf numFmtId="173" fontId="6" fillId="7" borderId="0" xfId="5" applyNumberFormat="1" applyFont="1" applyFill="1" applyAlignment="1">
      <alignment horizontal="right" vertical="center"/>
    </xf>
    <xf numFmtId="165" fontId="6" fillId="7" borderId="0" xfId="7" applyNumberFormat="1" applyFont="1" applyFill="1" applyAlignment="1">
      <alignment horizontal="right" vertical="center"/>
    </xf>
    <xf numFmtId="3" fontId="5" fillId="12" borderId="0" xfId="0" applyNumberFormat="1" applyFont="1" applyFill="1" applyAlignment="1">
      <alignment horizontal="right" vertical="center"/>
    </xf>
    <xf numFmtId="3" fontId="48" fillId="0" borderId="0" xfId="0" applyNumberFormat="1" applyFont="1" applyAlignment="1">
      <alignment horizontal="right" vertical="center"/>
    </xf>
    <xf numFmtId="3" fontId="6" fillId="3" borderId="0" xfId="0" applyNumberFormat="1" applyFont="1" applyFill="1" applyAlignment="1">
      <alignment horizontal="right" vertical="center"/>
    </xf>
    <xf numFmtId="3" fontId="48" fillId="3" borderId="0" xfId="0" applyNumberFormat="1" applyFont="1" applyFill="1" applyAlignment="1">
      <alignment horizontal="right" vertical="center"/>
    </xf>
    <xf numFmtId="0" fontId="43" fillId="3" borderId="0" xfId="0" applyFont="1" applyFill="1" applyAlignment="1">
      <alignment horizontal="left" vertical="center"/>
    </xf>
    <xf numFmtId="3" fontId="35" fillId="7" borderId="0" xfId="5" applyNumberFormat="1" applyFont="1" applyFill="1" applyAlignment="1">
      <alignment horizontal="right" vertical="center"/>
    </xf>
    <xf numFmtId="49" fontId="36" fillId="5" borderId="0" xfId="5" applyNumberFormat="1" applyFont="1" applyFill="1" applyAlignment="1">
      <alignment horizontal="left" vertical="center"/>
    </xf>
    <xf numFmtId="3" fontId="36" fillId="5" borderId="0" xfId="5" applyNumberFormat="1" applyFont="1" applyFill="1" applyAlignment="1">
      <alignment horizontal="right" vertical="center"/>
    </xf>
    <xf numFmtId="3" fontId="6" fillId="12" borderId="0" xfId="0" applyNumberFormat="1" applyFont="1" applyFill="1" applyAlignment="1">
      <alignment horizontal="right" vertical="center"/>
    </xf>
    <xf numFmtId="3" fontId="10" fillId="3" borderId="0" xfId="7" applyNumberFormat="1" applyFont="1" applyFill="1" applyAlignment="1">
      <alignment horizontal="right" vertical="center"/>
    </xf>
    <xf numFmtId="3" fontId="10" fillId="0" borderId="0" xfId="7" applyNumberFormat="1" applyFont="1" applyAlignment="1">
      <alignment horizontal="right" vertical="center"/>
    </xf>
    <xf numFmtId="3" fontId="3" fillId="3" borderId="0" xfId="7" applyNumberFormat="1" applyFont="1" applyFill="1" applyAlignment="1">
      <alignment horizontal="right" vertical="center" wrapText="1"/>
    </xf>
    <xf numFmtId="3" fontId="35" fillId="4" borderId="0" xfId="5" applyNumberFormat="1" applyFont="1" applyFill="1" applyAlignment="1">
      <alignment horizontal="right" vertical="center"/>
    </xf>
    <xf numFmtId="0" fontId="6" fillId="3" borderId="0" xfId="0" applyFont="1" applyFill="1" applyAlignment="1">
      <alignment horizontal="right" vertical="center"/>
    </xf>
    <xf numFmtId="37" fontId="49" fillId="3" borderId="0" xfId="7" applyNumberFormat="1" applyFont="1" applyFill="1" applyAlignment="1">
      <alignment vertical="center"/>
    </xf>
    <xf numFmtId="37" fontId="49" fillId="3" borderId="0" xfId="7" applyNumberFormat="1" applyFont="1" applyFill="1" applyAlignment="1">
      <alignment horizontal="left" vertical="center"/>
    </xf>
    <xf numFmtId="0" fontId="50" fillId="3" borderId="0" xfId="5" applyFont="1" applyFill="1" applyAlignment="1">
      <alignment horizontal="left" vertical="center"/>
    </xf>
    <xf numFmtId="0" fontId="44" fillId="3" borderId="0" xfId="7" applyFont="1" applyFill="1" applyAlignment="1">
      <alignment vertical="top"/>
    </xf>
    <xf numFmtId="0" fontId="42" fillId="3" borderId="0" xfId="5" applyFont="1" applyFill="1"/>
    <xf numFmtId="0" fontId="51" fillId="3" borderId="0" xfId="0" applyFont="1" applyFill="1"/>
    <xf numFmtId="3" fontId="52" fillId="3" borderId="0" xfId="0" applyNumberFormat="1" applyFont="1" applyFill="1" applyAlignment="1" applyProtection="1">
      <alignment horizontal="right"/>
      <protection locked="0"/>
    </xf>
    <xf numFmtId="0" fontId="39" fillId="3" borderId="0" xfId="0" applyFont="1" applyFill="1" applyAlignment="1" applyProtection="1">
      <alignment horizontal="right" vertical="center" wrapText="1"/>
      <protection locked="0"/>
    </xf>
    <xf numFmtId="0" fontId="39" fillId="3" borderId="0" xfId="0" applyFont="1" applyFill="1" applyAlignment="1" applyProtection="1">
      <alignment vertical="top" wrapText="1"/>
      <protection locked="0"/>
    </xf>
    <xf numFmtId="0" fontId="53" fillId="3" borderId="0" xfId="0" applyFont="1" applyFill="1" applyAlignment="1">
      <alignment horizontal="left" vertical="center" wrapText="1"/>
    </xf>
    <xf numFmtId="0" fontId="54" fillId="5" borderId="0" xfId="0" applyFont="1" applyFill="1" applyAlignment="1">
      <alignment vertical="center"/>
    </xf>
    <xf numFmtId="37" fontId="5" fillId="3" borderId="0" xfId="0" applyNumberFormat="1" applyFont="1" applyFill="1" applyAlignment="1" applyProtection="1">
      <alignment vertical="center" wrapText="1"/>
      <protection locked="0"/>
    </xf>
    <xf numFmtId="0" fontId="55" fillId="3" borderId="0" xfId="0" applyFont="1" applyFill="1" applyAlignment="1">
      <alignment vertical="center" wrapText="1"/>
    </xf>
    <xf numFmtId="0" fontId="55" fillId="3" borderId="0" xfId="0" applyFont="1" applyFill="1" applyAlignment="1">
      <alignment wrapText="1"/>
    </xf>
    <xf numFmtId="0" fontId="35" fillId="3" borderId="0" xfId="0" applyFont="1" applyFill="1"/>
    <xf numFmtId="0" fontId="56" fillId="3" borderId="0" xfId="4" applyFont="1" applyFill="1"/>
    <xf numFmtId="0" fontId="57" fillId="3" borderId="0" xfId="0" applyFont="1" applyFill="1" applyAlignment="1">
      <alignment wrapText="1"/>
    </xf>
    <xf numFmtId="0" fontId="47" fillId="3" borderId="0" xfId="0" applyFont="1" applyFill="1"/>
    <xf numFmtId="0" fontId="58" fillId="3" borderId="0" xfId="0" applyFont="1" applyFill="1"/>
    <xf numFmtId="0" fontId="12" fillId="14" borderId="0" xfId="4" quotePrefix="1" applyFont="1" applyFill="1" applyAlignment="1">
      <alignment horizontal="left" vertical="top"/>
    </xf>
    <xf numFmtId="0" fontId="15" fillId="14" borderId="0" xfId="4" quotePrefix="1" applyFont="1" applyFill="1" applyAlignment="1">
      <alignment horizontal="left"/>
    </xf>
    <xf numFmtId="0" fontId="35" fillId="3" borderId="0" xfId="0" applyFont="1" applyFill="1" applyAlignment="1">
      <alignment wrapText="1"/>
    </xf>
    <xf numFmtId="0" fontId="27" fillId="3" borderId="0" xfId="4" applyFill="1" applyAlignment="1">
      <alignment horizontal="left" vertical="center" wrapText="1" indent="1"/>
    </xf>
    <xf numFmtId="0" fontId="12" fillId="15" borderId="0" xfId="4" quotePrefix="1" applyFont="1" applyFill="1" applyAlignment="1">
      <alignment horizontal="left" vertical="top"/>
    </xf>
    <xf numFmtId="0" fontId="4" fillId="15" borderId="0" xfId="0" applyFont="1" applyFill="1" applyAlignment="1" applyProtection="1">
      <alignment horizontal="left"/>
      <protection locked="0"/>
    </xf>
    <xf numFmtId="0" fontId="59" fillId="3" borderId="0" xfId="4" applyFont="1" applyFill="1"/>
    <xf numFmtId="3" fontId="6" fillId="0" borderId="0" xfId="0" applyNumberFormat="1" applyFont="1" applyAlignment="1">
      <alignment horizontal="right" vertical="center"/>
    </xf>
    <xf numFmtId="0" fontId="0" fillId="3" borderId="0" xfId="0" applyFill="1" applyAlignment="1">
      <alignment wrapText="1"/>
    </xf>
    <xf numFmtId="37" fontId="59" fillId="3" borderId="0" xfId="4" applyNumberFormat="1" applyFont="1" applyFill="1" applyBorder="1" applyAlignment="1" applyProtection="1">
      <alignment vertical="top"/>
    </xf>
    <xf numFmtId="0" fontId="50" fillId="12" borderId="0" xfId="0" applyFont="1" applyFill="1" applyAlignment="1" applyProtection="1">
      <alignment horizontal="left" vertical="center" wrapText="1"/>
      <protection locked="0"/>
    </xf>
    <xf numFmtId="0" fontId="12" fillId="18" borderId="0" xfId="4" quotePrefix="1" applyFont="1" applyFill="1" applyAlignment="1">
      <alignment horizontal="left" vertical="top"/>
    </xf>
    <xf numFmtId="0" fontId="61" fillId="18" borderId="0" xfId="0" applyFont="1" applyFill="1" applyAlignment="1" applyProtection="1">
      <alignment horizontal="left" vertical="center"/>
      <protection locked="0"/>
    </xf>
    <xf numFmtId="0" fontId="47" fillId="18" borderId="0" xfId="0" applyFont="1" applyFill="1" applyAlignment="1" applyProtection="1">
      <alignment horizontal="right"/>
      <protection locked="0"/>
    </xf>
    <xf numFmtId="49" fontId="47" fillId="18" borderId="0" xfId="0" applyNumberFormat="1" applyFont="1" applyFill="1" applyAlignment="1" applyProtection="1">
      <alignment horizontal="right"/>
      <protection locked="0"/>
    </xf>
    <xf numFmtId="164" fontId="6" fillId="3" borderId="0" xfId="0" applyNumberFormat="1" applyFont="1" applyFill="1" applyAlignment="1">
      <alignment horizontal="right" vertical="center"/>
    </xf>
    <xf numFmtId="0" fontId="62" fillId="3" borderId="0" xfId="0" applyFont="1" applyFill="1" applyAlignment="1">
      <alignment horizontal="left"/>
    </xf>
    <xf numFmtId="49" fontId="35" fillId="3" borderId="0" xfId="5" applyNumberFormat="1" applyFont="1" applyFill="1" applyAlignment="1">
      <alignment horizontal="right"/>
    </xf>
    <xf numFmtId="0" fontId="52" fillId="3" borderId="0" xfId="5" applyFont="1" applyFill="1" applyAlignment="1">
      <alignment horizontal="right"/>
    </xf>
    <xf numFmtId="0" fontId="63" fillId="19" borderId="0" xfId="7" applyFont="1" applyFill="1" applyAlignment="1">
      <alignment horizontal="left" vertical="center"/>
    </xf>
    <xf numFmtId="49" fontId="63" fillId="19" borderId="0" xfId="7" applyNumberFormat="1" applyFont="1" applyFill="1" applyAlignment="1">
      <alignment horizontal="left" vertical="center"/>
    </xf>
    <xf numFmtId="0" fontId="63" fillId="19" borderId="0" xfId="7" applyFont="1" applyFill="1" applyAlignment="1">
      <alignment horizontal="right" vertical="center"/>
    </xf>
    <xf numFmtId="0" fontId="16" fillId="20" borderId="0" xfId="4" quotePrefix="1" applyFont="1" applyFill="1" applyAlignment="1" applyProtection="1">
      <alignment horizontal="left"/>
    </xf>
    <xf numFmtId="0" fontId="61" fillId="20" borderId="0" xfId="5" applyFont="1" applyFill="1" applyAlignment="1">
      <alignment horizontal="left" vertical="center"/>
    </xf>
    <xf numFmtId="0" fontId="47" fillId="20" borderId="0" xfId="5" applyFont="1" applyFill="1" applyAlignment="1">
      <alignment horizontal="right"/>
    </xf>
    <xf numFmtId="49" fontId="47" fillId="20" borderId="0" xfId="5" applyNumberFormat="1" applyFont="1" applyFill="1" applyAlignment="1">
      <alignment horizontal="right"/>
    </xf>
    <xf numFmtId="3" fontId="52" fillId="20" borderId="0" xfId="5" applyNumberFormat="1" applyFont="1" applyFill="1" applyAlignment="1">
      <alignment horizontal="right"/>
    </xf>
    <xf numFmtId="0" fontId="39" fillId="20" borderId="0" xfId="5" applyFont="1" applyFill="1" applyAlignment="1">
      <alignment horizontal="right" vertical="center" wrapText="1"/>
    </xf>
    <xf numFmtId="0" fontId="39" fillId="20" borderId="0" xfId="5" applyFont="1" applyFill="1" applyAlignment="1">
      <alignment vertical="top" wrapText="1"/>
    </xf>
    <xf numFmtId="0" fontId="63" fillId="19" borderId="0" xfId="0" applyFont="1" applyFill="1" applyAlignment="1" applyProtection="1">
      <alignment horizontal="left" vertical="center"/>
      <protection locked="0"/>
    </xf>
    <xf numFmtId="37" fontId="7" fillId="8" borderId="0" xfId="0" applyNumberFormat="1" applyFont="1" applyFill="1" applyAlignment="1">
      <alignment horizontal="left" vertical="center"/>
    </xf>
    <xf numFmtId="172" fontId="5" fillId="8" borderId="0" xfId="0" applyNumberFormat="1" applyFont="1" applyFill="1" applyAlignment="1">
      <alignment horizontal="right" vertical="center"/>
    </xf>
    <xf numFmtId="175" fontId="5" fillId="3" borderId="0" xfId="2" applyNumberFormat="1" applyFont="1" applyFill="1" applyAlignment="1" applyProtection="1">
      <alignment horizontal="right" vertical="center"/>
    </xf>
    <xf numFmtId="0" fontId="8" fillId="3" borderId="0" xfId="0" applyFont="1" applyFill="1" applyAlignment="1">
      <alignment horizontal="left" vertical="center" wrapText="1"/>
    </xf>
    <xf numFmtId="0" fontId="17" fillId="4" borderId="0" xfId="0" applyFont="1" applyFill="1" applyAlignment="1">
      <alignment horizontal="left" vertical="center"/>
    </xf>
    <xf numFmtId="37" fontId="6" fillId="3" borderId="0" xfId="0" applyNumberFormat="1" applyFont="1" applyFill="1" applyAlignment="1">
      <alignment horizontal="left" vertical="center" indent="4"/>
    </xf>
    <xf numFmtId="164" fontId="5" fillId="3" borderId="0" xfId="0" applyNumberFormat="1" applyFont="1" applyFill="1" applyAlignment="1" applyProtection="1">
      <alignment horizontal="right" vertical="center"/>
      <protection locked="0"/>
    </xf>
    <xf numFmtId="4" fontId="5" fillId="3" borderId="0" xfId="0" applyNumberFormat="1" applyFont="1" applyFill="1" applyAlignment="1" applyProtection="1">
      <alignment horizontal="right" vertical="center"/>
      <protection locked="0"/>
    </xf>
    <xf numFmtId="0" fontId="6" fillId="3" borderId="0" xfId="0" applyFont="1" applyFill="1" applyAlignment="1">
      <alignment horizontal="left" vertical="center" indent="4"/>
    </xf>
    <xf numFmtId="37" fontId="5" fillId="3" borderId="0" xfId="0" applyNumberFormat="1" applyFont="1" applyFill="1" applyAlignment="1">
      <alignment horizontal="left" vertical="center" indent="4"/>
    </xf>
    <xf numFmtId="37" fontId="5" fillId="3" borderId="0" xfId="0" applyNumberFormat="1" applyFont="1" applyFill="1" applyAlignment="1" applyProtection="1">
      <alignment horizontal="left" vertical="center" indent="2"/>
      <protection locked="0"/>
    </xf>
    <xf numFmtId="0" fontId="8" fillId="3" borderId="0" xfId="0" applyFont="1" applyFill="1" applyAlignment="1" applyProtection="1">
      <alignment horizontal="left" vertical="center"/>
      <protection locked="0"/>
    </xf>
    <xf numFmtId="37" fontId="7" fillId="9" borderId="0" xfId="0" applyNumberFormat="1" applyFont="1" applyFill="1" applyAlignment="1">
      <alignment horizontal="left" vertical="center" wrapText="1"/>
    </xf>
    <xf numFmtId="0" fontId="8" fillId="9" borderId="0" xfId="0" applyFont="1" applyFill="1" applyAlignment="1">
      <alignment horizontal="left" vertical="center"/>
    </xf>
    <xf numFmtId="0" fontId="17" fillId="21" borderId="0" xfId="0" applyFont="1" applyFill="1" applyAlignment="1" applyProtection="1">
      <alignment horizontal="left" vertical="center"/>
      <protection locked="0"/>
    </xf>
    <xf numFmtId="37" fontId="6" fillId="3" borderId="0" xfId="0" applyNumberFormat="1" applyFont="1" applyFill="1" applyAlignment="1">
      <alignment horizontal="left" vertical="center" indent="2"/>
    </xf>
    <xf numFmtId="0" fontId="8" fillId="12" borderId="0" xfId="0" applyFont="1" applyFill="1" applyAlignment="1">
      <alignment horizontal="left" vertical="center"/>
    </xf>
    <xf numFmtId="37" fontId="6" fillId="12" borderId="0" xfId="0" applyNumberFormat="1" applyFont="1" applyFill="1" applyAlignment="1" applyProtection="1">
      <alignment horizontal="left" vertical="center" indent="2"/>
      <protection locked="0"/>
    </xf>
    <xf numFmtId="0" fontId="8" fillId="12" borderId="0" xfId="0" applyFont="1" applyFill="1" applyAlignment="1" applyProtection="1">
      <alignment horizontal="left" vertical="center"/>
      <protection locked="0"/>
    </xf>
    <xf numFmtId="0" fontId="4" fillId="9" borderId="0" xfId="0" applyFont="1" applyFill="1" applyAlignment="1">
      <alignment horizontal="left" vertical="center"/>
    </xf>
    <xf numFmtId="3" fontId="5" fillId="8" borderId="0" xfId="0" applyNumberFormat="1" applyFont="1" applyFill="1" applyAlignment="1" applyProtection="1">
      <alignment horizontal="right" vertical="center"/>
      <protection locked="0"/>
    </xf>
    <xf numFmtId="37" fontId="6" fillId="12" borderId="0" xfId="0" applyNumberFormat="1" applyFont="1" applyFill="1" applyAlignment="1">
      <alignment horizontal="left" vertical="center" indent="2"/>
    </xf>
    <xf numFmtId="3" fontId="5" fillId="3" borderId="0" xfId="0" applyNumberFormat="1" applyFont="1" applyFill="1" applyAlignment="1" applyProtection="1">
      <alignment horizontal="right" vertical="center"/>
      <protection locked="0"/>
    </xf>
    <xf numFmtId="0" fontId="8" fillId="9" borderId="0" xfId="0" applyFont="1" applyFill="1" applyAlignment="1" applyProtection="1">
      <alignment horizontal="left" vertical="center" wrapText="1"/>
      <protection locked="0"/>
    </xf>
    <xf numFmtId="0" fontId="8" fillId="12" borderId="0" xfId="0" applyFont="1" applyFill="1" applyAlignment="1">
      <alignment horizontal="left" vertical="center" wrapText="1"/>
    </xf>
    <xf numFmtId="0" fontId="8" fillId="3" borderId="0" xfId="5" applyFont="1" applyFill="1" applyAlignment="1">
      <alignment horizontal="right" vertical="center" wrapText="1"/>
    </xf>
    <xf numFmtId="37" fontId="5" fillId="12" borderId="0" xfId="0" applyNumberFormat="1" applyFont="1" applyFill="1" applyAlignment="1" applyProtection="1">
      <alignment horizontal="left" vertical="center" indent="1"/>
      <protection locked="0"/>
    </xf>
    <xf numFmtId="0" fontId="8" fillId="12" borderId="0" xfId="0" applyFont="1" applyFill="1" applyAlignment="1" applyProtection="1">
      <alignment horizontal="left" vertical="center" wrapText="1"/>
      <protection locked="0"/>
    </xf>
    <xf numFmtId="37" fontId="5" fillId="12" borderId="0" xfId="0" applyNumberFormat="1" applyFont="1" applyFill="1" applyAlignment="1">
      <alignment horizontal="left" vertical="center" wrapText="1"/>
    </xf>
    <xf numFmtId="1" fontId="5" fillId="3" borderId="0" xfId="0" applyNumberFormat="1" applyFont="1" applyFill="1" applyAlignment="1">
      <alignment horizontal="right" vertical="center"/>
    </xf>
    <xf numFmtId="1" fontId="5" fillId="3" borderId="0" xfId="0" applyNumberFormat="1" applyFont="1" applyFill="1" applyAlignment="1" applyProtection="1">
      <alignment horizontal="right" vertical="center"/>
      <protection locked="0"/>
    </xf>
    <xf numFmtId="165" fontId="35" fillId="3" borderId="0" xfId="5" applyNumberFormat="1" applyFont="1" applyFill="1" applyAlignment="1">
      <alignment horizontal="right" vertical="center"/>
    </xf>
    <xf numFmtId="165" fontId="42" fillId="3" borderId="0" xfId="5" applyNumberFormat="1" applyFont="1" applyFill="1" applyAlignment="1">
      <alignment horizontal="right" vertical="center"/>
    </xf>
    <xf numFmtId="0" fontId="42" fillId="3" borderId="0" xfId="5" applyFont="1" applyFill="1" applyAlignment="1">
      <alignment horizontal="right" vertical="center"/>
    </xf>
    <xf numFmtId="0" fontId="4" fillId="8" borderId="0" xfId="0" applyFont="1" applyFill="1" applyAlignment="1">
      <alignment horizontal="left" vertical="center"/>
    </xf>
    <xf numFmtId="0" fontId="8" fillId="4" borderId="0" xfId="0" applyFont="1" applyFill="1" applyAlignment="1" applyProtection="1">
      <alignment horizontal="left" vertical="center"/>
      <protection locked="0"/>
    </xf>
    <xf numFmtId="37" fontId="6" fillId="3" borderId="0" xfId="0" applyNumberFormat="1" applyFont="1" applyFill="1" applyAlignment="1">
      <alignment horizontal="left" vertical="center" wrapText="1" indent="2"/>
    </xf>
    <xf numFmtId="164" fontId="5" fillId="7" borderId="0" xfId="0" applyNumberFormat="1" applyFont="1" applyFill="1" applyAlignment="1" applyProtection="1">
      <alignment horizontal="right" vertical="center"/>
      <protection locked="0"/>
    </xf>
    <xf numFmtId="0" fontId="6" fillId="7" borderId="0" xfId="5" applyFont="1" applyFill="1" applyAlignment="1">
      <alignment horizontal="right" vertical="center"/>
    </xf>
    <xf numFmtId="171" fontId="5" fillId="3" borderId="0" xfId="0" applyNumberFormat="1" applyFont="1" applyFill="1" applyAlignment="1">
      <alignment horizontal="right" vertical="center"/>
    </xf>
    <xf numFmtId="0" fontId="8" fillId="8" borderId="0" xfId="0" applyFont="1" applyFill="1" applyAlignment="1" applyProtection="1">
      <alignment horizontal="left" vertical="center" wrapText="1"/>
      <protection locked="0"/>
    </xf>
    <xf numFmtId="0" fontId="6" fillId="3" borderId="0" xfId="5" applyFont="1" applyFill="1" applyAlignment="1">
      <alignment horizontal="left" vertical="center"/>
    </xf>
    <xf numFmtId="3" fontId="6" fillId="7" borderId="0" xfId="0" applyNumberFormat="1" applyFont="1" applyFill="1" applyAlignment="1">
      <alignment horizontal="right" vertical="center"/>
    </xf>
    <xf numFmtId="165" fontId="46" fillId="3" borderId="0" xfId="0" applyNumberFormat="1" applyFont="1" applyFill="1" applyAlignment="1">
      <alignment horizontal="right" vertical="center"/>
    </xf>
    <xf numFmtId="165" fontId="46" fillId="7" borderId="0" xfId="0" applyNumberFormat="1" applyFont="1" applyFill="1" applyAlignment="1">
      <alignment horizontal="right" vertical="center"/>
    </xf>
    <xf numFmtId="37" fontId="18" fillId="3" borderId="0" xfId="0" applyNumberFormat="1" applyFont="1" applyFill="1" applyAlignment="1">
      <alignment horizontal="left" vertical="center" indent="4"/>
    </xf>
    <xf numFmtId="3" fontId="6" fillId="3" borderId="0" xfId="0" applyNumberFormat="1" applyFont="1" applyFill="1" applyAlignment="1" applyProtection="1">
      <alignment horizontal="right" vertical="center"/>
      <protection locked="0"/>
    </xf>
    <xf numFmtId="3" fontId="6" fillId="7" borderId="0" xfId="0" applyNumberFormat="1" applyFont="1" applyFill="1" applyAlignment="1" applyProtection="1">
      <alignment horizontal="right" vertical="center"/>
      <protection locked="0"/>
    </xf>
    <xf numFmtId="37" fontId="18" fillId="3" borderId="0" xfId="0" applyNumberFormat="1" applyFont="1" applyFill="1" applyAlignment="1">
      <alignment horizontal="left" vertical="center" wrapText="1" indent="5"/>
    </xf>
    <xf numFmtId="37" fontId="18" fillId="3" borderId="0" xfId="0" applyNumberFormat="1" applyFont="1" applyFill="1" applyAlignment="1">
      <alignment horizontal="left" vertical="center" wrapText="1" indent="4"/>
    </xf>
    <xf numFmtId="165" fontId="6" fillId="3" borderId="0" xfId="0" applyNumberFormat="1" applyFont="1" applyFill="1" applyAlignment="1" applyProtection="1">
      <alignment horizontal="right" vertical="center"/>
      <protection locked="0"/>
    </xf>
    <xf numFmtId="165" fontId="5" fillId="3" borderId="0" xfId="0" applyNumberFormat="1" applyFont="1" applyFill="1" applyAlignment="1">
      <alignment horizontal="right" vertical="center"/>
    </xf>
    <xf numFmtId="37" fontId="5" fillId="3" borderId="0" xfId="0" applyNumberFormat="1" applyFont="1" applyFill="1" applyAlignment="1">
      <alignment horizontal="left" vertical="top" indent="2"/>
    </xf>
    <xf numFmtId="37" fontId="6" fillId="3" borderId="0" xfId="0" applyNumberFormat="1" applyFont="1" applyFill="1" applyAlignment="1">
      <alignment vertical="center"/>
    </xf>
    <xf numFmtId="0" fontId="7" fillId="9" borderId="0" xfId="0" applyFont="1" applyFill="1" applyAlignment="1">
      <alignment horizontal="left" vertical="center"/>
    </xf>
    <xf numFmtId="0" fontId="8" fillId="9" borderId="0" xfId="0" applyFont="1" applyFill="1" applyAlignment="1" applyProtection="1">
      <alignment horizontal="left" vertical="center"/>
      <protection locked="0"/>
    </xf>
    <xf numFmtId="0" fontId="6" fillId="3" borderId="0" xfId="0" applyFont="1" applyFill="1" applyAlignment="1">
      <alignment horizontal="left" vertical="center" wrapText="1"/>
    </xf>
    <xf numFmtId="37" fontId="5" fillId="12" borderId="0" xfId="0" applyNumberFormat="1" applyFont="1" applyFill="1" applyAlignment="1">
      <alignment horizontal="left" vertical="center" indent="2"/>
    </xf>
    <xf numFmtId="0" fontId="8" fillId="21" borderId="0" xfId="0" applyFont="1" applyFill="1" applyAlignment="1" applyProtection="1">
      <alignment horizontal="left" vertical="center"/>
      <protection locked="0"/>
    </xf>
    <xf numFmtId="164" fontId="46" fillId="3" borderId="0" xfId="0" applyNumberFormat="1" applyFont="1" applyFill="1" applyAlignment="1">
      <alignment horizontal="right" vertical="center"/>
    </xf>
    <xf numFmtId="0" fontId="6" fillId="3" borderId="0" xfId="0" applyFont="1" applyFill="1" applyAlignment="1" applyProtection="1">
      <alignment horizontal="right" vertical="center"/>
      <protection locked="0"/>
    </xf>
    <xf numFmtId="37" fontId="5" fillId="12" borderId="0" xfId="0" applyNumberFormat="1" applyFont="1" applyFill="1" applyAlignment="1">
      <alignment horizontal="left" vertical="center" wrapText="1" indent="2"/>
    </xf>
    <xf numFmtId="2" fontId="46" fillId="3" borderId="0" xfId="0" applyNumberFormat="1" applyFont="1" applyFill="1" applyAlignment="1">
      <alignment horizontal="right" vertical="center"/>
    </xf>
    <xf numFmtId="37" fontId="5" fillId="12" borderId="0" xfId="0" applyNumberFormat="1" applyFont="1" applyFill="1" applyAlignment="1" applyProtection="1">
      <alignment horizontal="left" vertical="center" wrapText="1" indent="2"/>
      <protection locked="0"/>
    </xf>
    <xf numFmtId="0" fontId="42" fillId="3" borderId="0" xfId="5" applyFont="1" applyFill="1" applyAlignment="1">
      <alignment horizontal="left"/>
    </xf>
    <xf numFmtId="0" fontId="50" fillId="12" borderId="0" xfId="0" applyFont="1" applyFill="1" applyAlignment="1" applyProtection="1">
      <alignment horizontal="left" vertical="center"/>
      <protection locked="0"/>
    </xf>
    <xf numFmtId="0" fontId="26" fillId="3" borderId="0" xfId="0" applyFont="1" applyFill="1" applyAlignment="1">
      <alignment horizontal="left"/>
    </xf>
    <xf numFmtId="0" fontId="42" fillId="3" borderId="0" xfId="5" applyFont="1" applyFill="1" applyAlignment="1">
      <alignment horizontal="left" vertical="center"/>
    </xf>
    <xf numFmtId="0" fontId="6" fillId="3" borderId="0" xfId="0" applyFont="1" applyFill="1" applyAlignment="1">
      <alignment horizontal="left" vertical="center"/>
    </xf>
    <xf numFmtId="1" fontId="6" fillId="3" borderId="0" xfId="0" applyNumberFormat="1" applyFont="1" applyFill="1" applyAlignment="1" applyProtection="1">
      <alignment horizontal="right" vertical="center"/>
      <protection locked="0"/>
    </xf>
    <xf numFmtId="37" fontId="6" fillId="12" borderId="0" xfId="0" applyNumberFormat="1" applyFont="1" applyFill="1" applyAlignment="1">
      <alignment horizontal="left" vertical="center" wrapText="1" indent="2"/>
    </xf>
    <xf numFmtId="164" fontId="6" fillId="7" borderId="0" xfId="5" applyNumberFormat="1" applyFont="1" applyFill="1" applyAlignment="1">
      <alignment horizontal="right" vertical="center"/>
    </xf>
    <xf numFmtId="2" fontId="46" fillId="0" borderId="0" xfId="0" applyNumberFormat="1" applyFont="1" applyAlignment="1">
      <alignment horizontal="right" vertical="center"/>
    </xf>
    <xf numFmtId="1" fontId="46" fillId="3" borderId="0" xfId="0" applyNumberFormat="1" applyFont="1" applyFill="1" applyAlignment="1">
      <alignment horizontal="right" vertical="center"/>
    </xf>
    <xf numFmtId="0" fontId="6" fillId="12" borderId="0" xfId="0" applyFont="1" applyFill="1" applyAlignment="1">
      <alignment horizontal="left" vertical="center"/>
    </xf>
    <xf numFmtId="166" fontId="6" fillId="3" borderId="0" xfId="0" applyNumberFormat="1" applyFont="1" applyFill="1" applyAlignment="1" applyProtection="1">
      <alignment horizontal="right" vertical="center"/>
      <protection locked="0"/>
    </xf>
    <xf numFmtId="0" fontId="63" fillId="19" borderId="0" xfId="0" applyFont="1" applyFill="1" applyAlignment="1">
      <alignment horizontal="left" vertical="center"/>
    </xf>
    <xf numFmtId="164" fontId="5" fillId="8" borderId="0" xfId="0" applyNumberFormat="1" applyFont="1" applyFill="1" applyAlignment="1">
      <alignment horizontal="right" vertical="center"/>
    </xf>
    <xf numFmtId="171" fontId="5" fillId="3" borderId="0" xfId="0" applyNumberFormat="1" applyFont="1" applyFill="1" applyAlignment="1" applyProtection="1">
      <alignment horizontal="right" vertical="center"/>
      <protection locked="0"/>
    </xf>
    <xf numFmtId="171" fontId="5" fillId="7" borderId="0" xfId="0" applyNumberFormat="1" applyFont="1" applyFill="1" applyAlignment="1" applyProtection="1">
      <alignment horizontal="right" vertical="center"/>
      <protection locked="0"/>
    </xf>
    <xf numFmtId="171" fontId="5" fillId="7" borderId="0" xfId="0" applyNumberFormat="1" applyFont="1" applyFill="1" applyAlignment="1">
      <alignment horizontal="right" vertical="center"/>
    </xf>
    <xf numFmtId="37" fontId="18" fillId="12" borderId="0" xfId="0" applyNumberFormat="1" applyFont="1" applyFill="1" applyAlignment="1">
      <alignment horizontal="left" vertical="center" wrapText="1" indent="4"/>
    </xf>
    <xf numFmtId="174" fontId="5" fillId="3" borderId="0" xfId="0" applyNumberFormat="1" applyFont="1" applyFill="1" applyAlignment="1">
      <alignment horizontal="right" vertical="center"/>
    </xf>
    <xf numFmtId="174" fontId="5" fillId="3" borderId="0" xfId="0" applyNumberFormat="1" applyFont="1" applyFill="1" applyAlignment="1" applyProtection="1">
      <alignment horizontal="right" vertical="center"/>
      <protection locked="0"/>
    </xf>
    <xf numFmtId="37" fontId="5" fillId="12" borderId="0" xfId="0" applyNumberFormat="1" applyFont="1" applyFill="1" applyAlignment="1">
      <alignment horizontal="left" vertical="center"/>
    </xf>
    <xf numFmtId="165" fontId="5" fillId="8" borderId="0" xfId="0" applyNumberFormat="1" applyFont="1" applyFill="1" applyAlignment="1">
      <alignment horizontal="right" vertical="center"/>
    </xf>
    <xf numFmtId="0" fontId="8" fillId="21" borderId="0" xfId="0" applyFont="1" applyFill="1" applyAlignment="1">
      <alignment horizontal="left" vertical="center"/>
    </xf>
    <xf numFmtId="0" fontId="6" fillId="21" borderId="0" xfId="0" applyFont="1" applyFill="1" applyAlignment="1">
      <alignment horizontal="left" vertical="center" indent="2"/>
    </xf>
    <xf numFmtId="0" fontId="6" fillId="8" borderId="0" xfId="0" applyFont="1" applyFill="1" applyAlignment="1">
      <alignment horizontal="right" vertical="center"/>
    </xf>
    <xf numFmtId="0" fontId="44" fillId="3" borderId="0" xfId="7" applyFont="1" applyFill="1"/>
    <xf numFmtId="0" fontId="35" fillId="3" borderId="0" xfId="7" applyFont="1" applyFill="1" applyAlignment="1">
      <alignment horizontal="left" vertical="center"/>
    </xf>
    <xf numFmtId="0" fontId="35" fillId="3" borderId="0" xfId="7" applyFont="1" applyFill="1" applyAlignment="1">
      <alignment horizontal="right"/>
    </xf>
    <xf numFmtId="49" fontId="35" fillId="3" borderId="0" xfId="7" applyNumberFormat="1" applyFont="1" applyFill="1" applyAlignment="1">
      <alignment horizontal="right"/>
    </xf>
    <xf numFmtId="0" fontId="52" fillId="3" borderId="0" xfId="7" applyFont="1" applyFill="1" applyAlignment="1">
      <alignment horizontal="right"/>
    </xf>
    <xf numFmtId="0" fontId="35" fillId="3" borderId="0" xfId="7" applyFont="1" applyFill="1" applyAlignment="1">
      <alignment horizontal="center" vertical="top"/>
    </xf>
    <xf numFmtId="0" fontId="36" fillId="5" borderId="0" xfId="7" applyFont="1" applyFill="1" applyAlignment="1">
      <alignment horizontal="right" vertical="center"/>
    </xf>
    <xf numFmtId="49" fontId="36" fillId="5" borderId="0" xfId="7" applyNumberFormat="1" applyFont="1" applyFill="1" applyAlignment="1">
      <alignment horizontal="right" vertical="center"/>
    </xf>
    <xf numFmtId="0" fontId="35" fillId="3" borderId="0" xfId="7" applyFont="1" applyFill="1" applyAlignment="1">
      <alignment horizontal="right" vertical="top"/>
    </xf>
    <xf numFmtId="0" fontId="44" fillId="3" borderId="0" xfId="7" applyFont="1" applyFill="1" applyAlignment="1">
      <alignment vertical="center"/>
    </xf>
    <xf numFmtId="0" fontId="16" fillId="22" borderId="0" xfId="4" quotePrefix="1" applyFont="1" applyFill="1" applyAlignment="1" applyProtection="1">
      <alignment horizontal="left"/>
    </xf>
    <xf numFmtId="0" fontId="61" fillId="22" borderId="0" xfId="7" applyFont="1" applyFill="1" applyAlignment="1">
      <alignment horizontal="left" vertical="center"/>
    </xf>
    <xf numFmtId="0" fontId="47" fillId="22" borderId="0" xfId="7" applyFont="1" applyFill="1" applyAlignment="1">
      <alignment horizontal="right"/>
    </xf>
    <xf numFmtId="49" fontId="47" fillId="22" borderId="0" xfId="7" applyNumberFormat="1" applyFont="1" applyFill="1" applyAlignment="1">
      <alignment horizontal="right"/>
    </xf>
    <xf numFmtId="3" fontId="52" fillId="22" borderId="0" xfId="7" applyNumberFormat="1" applyFont="1" applyFill="1" applyAlignment="1">
      <alignment horizontal="right"/>
    </xf>
    <xf numFmtId="0" fontId="39" fillId="22" borderId="0" xfId="7" applyFont="1" applyFill="1" applyAlignment="1">
      <alignment horizontal="right" vertical="center" wrapText="1"/>
    </xf>
    <xf numFmtId="0" fontId="39" fillId="22" borderId="0" xfId="7" applyFont="1" applyFill="1" applyAlignment="1">
      <alignment vertical="top" wrapText="1"/>
    </xf>
    <xf numFmtId="0" fontId="42" fillId="5" borderId="0" xfId="7" applyFont="1" applyFill="1" applyAlignment="1">
      <alignment vertical="center"/>
    </xf>
    <xf numFmtId="49" fontId="36" fillId="6" borderId="0" xfId="7" applyNumberFormat="1" applyFont="1" applyFill="1" applyAlignment="1">
      <alignment horizontal="left" vertical="center"/>
    </xf>
    <xf numFmtId="0" fontId="36" fillId="6" borderId="0" xfId="7" applyFont="1" applyFill="1" applyAlignment="1">
      <alignment horizontal="right" vertical="center"/>
    </xf>
    <xf numFmtId="49" fontId="36" fillId="6" borderId="0" xfId="7" applyNumberFormat="1" applyFont="1" applyFill="1" applyAlignment="1">
      <alignment horizontal="right" vertical="center"/>
    </xf>
    <xf numFmtId="0" fontId="36" fillId="5" borderId="0" xfId="0" applyFont="1" applyFill="1" applyAlignment="1">
      <alignment horizontal="left" vertical="center"/>
    </xf>
    <xf numFmtId="0" fontId="8" fillId="3" borderId="0" xfId="0" applyFont="1" applyFill="1" applyAlignment="1">
      <alignment horizontal="right" vertical="center" wrapText="1"/>
    </xf>
    <xf numFmtId="0" fontId="7" fillId="8" borderId="0" xfId="0" applyFont="1" applyFill="1" applyAlignment="1">
      <alignment horizontal="left" vertical="center"/>
    </xf>
    <xf numFmtId="3" fontId="6" fillId="8" borderId="0" xfId="0" applyNumberFormat="1" applyFont="1" applyFill="1" applyAlignment="1">
      <alignment horizontal="right" vertical="center"/>
    </xf>
    <xf numFmtId="37" fontId="5" fillId="3" borderId="0" xfId="0" applyNumberFormat="1" applyFont="1" applyFill="1" applyAlignment="1">
      <alignment horizontal="left" vertical="center" wrapText="1"/>
    </xf>
    <xf numFmtId="0" fontId="8" fillId="3" borderId="0" xfId="0" applyFont="1" applyFill="1" applyAlignment="1">
      <alignment horizontal="right" vertical="center"/>
    </xf>
    <xf numFmtId="49" fontId="8" fillId="3" borderId="0" xfId="0" applyNumberFormat="1" applyFont="1" applyFill="1" applyAlignment="1">
      <alignment horizontal="right" vertical="center"/>
    </xf>
    <xf numFmtId="1" fontId="5" fillId="7" borderId="0" xfId="0" applyNumberFormat="1" applyFont="1" applyFill="1" applyAlignment="1">
      <alignment horizontal="right" vertical="center"/>
    </xf>
    <xf numFmtId="0" fontId="35" fillId="3" borderId="0" xfId="0" applyFont="1" applyFill="1" applyAlignment="1">
      <alignment horizontal="right" vertical="center"/>
    </xf>
    <xf numFmtId="0" fontId="61" fillId="3" borderId="0" xfId="0" applyFont="1" applyFill="1" applyAlignment="1">
      <alignment horizontal="left" vertical="center"/>
    </xf>
    <xf numFmtId="173" fontId="6" fillId="3" borderId="0" xfId="0" applyNumberFormat="1" applyFont="1" applyFill="1" applyAlignment="1">
      <alignment horizontal="right" vertical="center"/>
    </xf>
    <xf numFmtId="0" fontId="6" fillId="4" borderId="0" xfId="0" applyFont="1" applyFill="1" applyAlignment="1">
      <alignment horizontal="left" vertical="center" indent="1"/>
    </xf>
    <xf numFmtId="0" fontId="6" fillId="3" borderId="0" xfId="0" applyFont="1" applyFill="1" applyAlignment="1">
      <alignment horizontal="left" vertical="center" wrapText="1" indent="2"/>
    </xf>
    <xf numFmtId="37" fontId="18" fillId="3" borderId="0" xfId="5" applyNumberFormat="1" applyFont="1" applyFill="1" applyAlignment="1">
      <alignment horizontal="left" vertical="center" indent="4"/>
    </xf>
    <xf numFmtId="0" fontId="64" fillId="3" borderId="0" xfId="0" applyFont="1" applyFill="1" applyAlignment="1">
      <alignment horizontal="left" vertical="center"/>
    </xf>
    <xf numFmtId="165" fontId="6" fillId="3" borderId="0" xfId="0" applyNumberFormat="1" applyFont="1" applyFill="1" applyAlignment="1">
      <alignment horizontal="right" vertical="center" wrapText="1"/>
    </xf>
    <xf numFmtId="3" fontId="6" fillId="3" borderId="0" xfId="0" applyNumberFormat="1" applyFont="1" applyFill="1" applyAlignment="1">
      <alignment horizontal="right" vertical="center" wrapText="1"/>
    </xf>
    <xf numFmtId="175" fontId="6" fillId="3" borderId="0" xfId="0" applyNumberFormat="1" applyFont="1" applyFill="1" applyAlignment="1">
      <alignment horizontal="right" vertical="center" wrapText="1"/>
    </xf>
    <xf numFmtId="182" fontId="6" fillId="3" borderId="0" xfId="0" applyNumberFormat="1" applyFont="1" applyFill="1" applyAlignment="1">
      <alignment horizontal="right" vertical="center" wrapText="1"/>
    </xf>
    <xf numFmtId="0" fontId="7" fillId="8" borderId="0" xfId="0" applyFont="1" applyFill="1" applyAlignment="1">
      <alignment horizontal="left" vertical="center" wrapText="1"/>
    </xf>
    <xf numFmtId="0" fontId="8" fillId="8" borderId="0" xfId="0" applyFont="1" applyFill="1" applyAlignment="1">
      <alignment horizontal="left" vertical="center" wrapText="1"/>
    </xf>
    <xf numFmtId="164" fontId="5" fillId="3" borderId="0" xfId="0" applyNumberFormat="1" applyFont="1" applyFill="1" applyAlignment="1">
      <alignment horizontal="right" vertical="center" wrapText="1"/>
    </xf>
    <xf numFmtId="37" fontId="3" fillId="3" borderId="0" xfId="7" applyNumberFormat="1" applyFont="1" applyFill="1" applyAlignment="1">
      <alignment vertical="center" wrapText="1"/>
    </xf>
    <xf numFmtId="165" fontId="46" fillId="8" borderId="0" xfId="0" applyNumberFormat="1" applyFont="1" applyFill="1" applyAlignment="1">
      <alignment horizontal="right" vertical="center"/>
    </xf>
    <xf numFmtId="165" fontId="6" fillId="8" borderId="0" xfId="7" applyNumberFormat="1" applyFont="1" applyFill="1" applyAlignment="1">
      <alignment horizontal="right" vertical="center"/>
    </xf>
    <xf numFmtId="0" fontId="8" fillId="3" borderId="0" xfId="7" applyFont="1" applyFill="1" applyAlignment="1">
      <alignment horizontal="right" vertical="center" wrapText="1"/>
    </xf>
    <xf numFmtId="165" fontId="46" fillId="4" borderId="0" xfId="0" applyNumberFormat="1" applyFont="1" applyFill="1" applyAlignment="1">
      <alignment horizontal="right" vertical="center"/>
    </xf>
    <xf numFmtId="49" fontId="8" fillId="3" borderId="0" xfId="7" applyNumberFormat="1" applyFont="1" applyFill="1" applyAlignment="1">
      <alignment horizontal="right" vertical="center" wrapText="1"/>
    </xf>
    <xf numFmtId="37" fontId="10" fillId="3" borderId="0" xfId="7" applyNumberFormat="1" applyFont="1" applyFill="1" applyAlignment="1">
      <alignment horizontal="left" vertical="center" wrapText="1"/>
    </xf>
    <xf numFmtId="37" fontId="3" fillId="3" borderId="0" xfId="7" applyNumberFormat="1" applyFont="1" applyFill="1" applyAlignment="1">
      <alignment horizontal="left" vertical="center" wrapText="1"/>
    </xf>
    <xf numFmtId="167" fontId="5" fillId="8" borderId="0" xfId="0" applyNumberFormat="1" applyFont="1" applyFill="1" applyAlignment="1">
      <alignment horizontal="right" vertical="center"/>
    </xf>
    <xf numFmtId="3" fontId="5" fillId="8" borderId="0" xfId="0" applyNumberFormat="1" applyFont="1" applyFill="1" applyAlignment="1">
      <alignment horizontal="right" vertical="center"/>
    </xf>
    <xf numFmtId="164" fontId="46" fillId="4" borderId="0" xfId="0" applyNumberFormat="1" applyFont="1" applyFill="1" applyAlignment="1">
      <alignment horizontal="right" vertical="center"/>
    </xf>
    <xf numFmtId="167" fontId="52" fillId="4" borderId="0" xfId="0" applyNumberFormat="1" applyFont="1" applyFill="1" applyAlignment="1">
      <alignment horizontal="right" vertical="center"/>
    </xf>
    <xf numFmtId="3" fontId="5" fillId="3" borderId="0" xfId="0" applyNumberFormat="1" applyFont="1" applyFill="1" applyAlignment="1">
      <alignment horizontal="right" vertical="center"/>
    </xf>
    <xf numFmtId="3" fontId="6" fillId="7" borderId="0" xfId="7" applyNumberFormat="1" applyFont="1" applyFill="1" applyAlignment="1">
      <alignment horizontal="right" vertical="center"/>
    </xf>
    <xf numFmtId="49" fontId="20" fillId="3" borderId="0" xfId="7" applyNumberFormat="1" applyFont="1" applyFill="1" applyAlignment="1">
      <alignment horizontal="right" vertical="center"/>
    </xf>
    <xf numFmtId="167" fontId="6" fillId="8" borderId="0" xfId="0" applyNumberFormat="1" applyFont="1" applyFill="1" applyAlignment="1">
      <alignment horizontal="right" vertical="center"/>
    </xf>
    <xf numFmtId="172" fontId="5" fillId="4" borderId="0" xfId="0" applyNumberFormat="1" applyFont="1" applyFill="1" applyAlignment="1">
      <alignment horizontal="right" vertical="center"/>
    </xf>
    <xf numFmtId="0" fontId="6" fillId="3" borderId="0" xfId="5" applyFont="1" applyFill="1" applyAlignment="1">
      <alignment horizontal="left" vertical="center" indent="2"/>
    </xf>
    <xf numFmtId="172" fontId="5" fillId="3" borderId="0" xfId="0" applyNumberFormat="1" applyFont="1" applyFill="1" applyAlignment="1">
      <alignment horizontal="right" vertical="center"/>
    </xf>
    <xf numFmtId="166" fontId="8" fillId="3" borderId="0" xfId="7" applyNumberFormat="1" applyFont="1" applyFill="1" applyAlignment="1">
      <alignment horizontal="right" vertical="center" wrapText="1"/>
    </xf>
    <xf numFmtId="3" fontId="5" fillId="3" borderId="0" xfId="0" applyNumberFormat="1" applyFont="1" applyFill="1" applyAlignment="1">
      <alignment horizontal="right" vertical="center" wrapText="1"/>
    </xf>
    <xf numFmtId="0" fontId="44" fillId="3" borderId="0" xfId="7" quotePrefix="1" applyFont="1" applyFill="1" applyAlignment="1">
      <alignment vertical="top"/>
    </xf>
    <xf numFmtId="0" fontId="47" fillId="4" borderId="0" xfId="0" applyFont="1" applyFill="1" applyAlignment="1">
      <alignment horizontal="right" vertical="center"/>
    </xf>
    <xf numFmtId="3" fontId="35" fillId="3" borderId="0" xfId="0" applyNumberFormat="1" applyFont="1" applyFill="1" applyAlignment="1">
      <alignment horizontal="right" vertical="center"/>
    </xf>
    <xf numFmtId="3" fontId="35" fillId="7" borderId="0" xfId="0" applyNumberFormat="1" applyFont="1" applyFill="1" applyAlignment="1">
      <alignment horizontal="right" vertical="center"/>
    </xf>
    <xf numFmtId="3" fontId="35" fillId="3" borderId="0" xfId="0" applyNumberFormat="1" applyFont="1" applyFill="1" applyAlignment="1">
      <alignment vertical="center"/>
    </xf>
    <xf numFmtId="3" fontId="35" fillId="4" borderId="0" xfId="0" applyNumberFormat="1" applyFont="1" applyFill="1" applyAlignment="1">
      <alignment horizontal="right" vertical="center"/>
    </xf>
    <xf numFmtId="0" fontId="6" fillId="3" borderId="0" xfId="0" applyFont="1" applyFill="1" applyAlignment="1">
      <alignment horizontal="left" vertical="center" wrapText="1" indent="1"/>
    </xf>
    <xf numFmtId="0" fontId="65" fillId="3" borderId="0" xfId="0" applyFont="1" applyFill="1" applyAlignment="1">
      <alignment horizontal="left" vertical="center"/>
    </xf>
    <xf numFmtId="3" fontId="35" fillId="8" borderId="0" xfId="0" applyNumberFormat="1" applyFont="1" applyFill="1" applyAlignment="1">
      <alignment horizontal="right" vertical="center"/>
    </xf>
    <xf numFmtId="0" fontId="66" fillId="4" borderId="0" xfId="0" applyFont="1" applyFill="1" applyAlignment="1">
      <alignment horizontal="left" vertical="center"/>
    </xf>
    <xf numFmtId="1" fontId="46" fillId="4" borderId="0" xfId="0" applyNumberFormat="1" applyFont="1" applyFill="1" applyAlignment="1">
      <alignment horizontal="right" vertical="center"/>
    </xf>
    <xf numFmtId="2" fontId="47" fillId="4" borderId="0" xfId="0" applyNumberFormat="1" applyFont="1" applyFill="1" applyAlignment="1">
      <alignment horizontal="right" vertical="center"/>
    </xf>
    <xf numFmtId="0" fontId="11" fillId="8" borderId="0" xfId="0" applyFont="1" applyFill="1" applyAlignment="1">
      <alignment horizontal="left" vertical="center"/>
    </xf>
    <xf numFmtId="1" fontId="46" fillId="8" borderId="0" xfId="0" applyNumberFormat="1" applyFont="1" applyFill="1" applyAlignment="1">
      <alignment horizontal="right" vertical="center"/>
    </xf>
    <xf numFmtId="164" fontId="46" fillId="8" borderId="0" xfId="0" applyNumberFormat="1" applyFont="1" applyFill="1" applyAlignment="1">
      <alignment horizontal="right" vertical="center"/>
    </xf>
    <xf numFmtId="2" fontId="35" fillId="8" borderId="0" xfId="0" applyNumberFormat="1" applyFont="1" applyFill="1" applyAlignment="1">
      <alignment horizontal="right" vertical="center"/>
    </xf>
    <xf numFmtId="2" fontId="35" fillId="3" borderId="0" xfId="0" applyNumberFormat="1" applyFont="1" applyFill="1" applyAlignment="1">
      <alignment horizontal="right" vertical="center"/>
    </xf>
    <xf numFmtId="2" fontId="35" fillId="7" borderId="0" xfId="0" applyNumberFormat="1" applyFont="1" applyFill="1" applyAlignment="1">
      <alignment horizontal="right" vertical="center"/>
    </xf>
    <xf numFmtId="0" fontId="11" fillId="3" borderId="0" xfId="0" applyFont="1" applyFill="1" applyAlignment="1">
      <alignment horizontal="left" vertical="center" wrapText="1"/>
    </xf>
    <xf numFmtId="165" fontId="6" fillId="3" borderId="0" xfId="7" applyNumberFormat="1" applyFont="1" applyFill="1" applyAlignment="1">
      <alignment horizontal="right" vertical="center" wrapText="1"/>
    </xf>
    <xf numFmtId="164" fontId="5" fillId="4" borderId="0" xfId="0" applyNumberFormat="1" applyFont="1" applyFill="1" applyAlignment="1">
      <alignment horizontal="right" vertical="center"/>
    </xf>
    <xf numFmtId="3" fontId="5" fillId="4" borderId="0" xfId="0" applyNumberFormat="1" applyFont="1" applyFill="1" applyAlignment="1">
      <alignment horizontal="right" vertical="center"/>
    </xf>
    <xf numFmtId="9" fontId="3" fillId="4" borderId="0" xfId="6" applyFont="1" applyFill="1" applyAlignment="1" applyProtection="1">
      <alignment horizontal="right" vertical="center" wrapText="1"/>
    </xf>
    <xf numFmtId="9" fontId="3" fillId="3" borderId="0" xfId="6" applyFont="1" applyFill="1" applyBorder="1" applyAlignment="1" applyProtection="1">
      <alignment horizontal="right" vertical="center" wrapText="1"/>
    </xf>
    <xf numFmtId="0" fontId="8" fillId="4" borderId="0" xfId="0" applyFont="1" applyFill="1" applyAlignment="1">
      <alignment horizontal="left" vertical="center" wrapText="1"/>
    </xf>
    <xf numFmtId="164" fontId="5" fillId="4" borderId="0" xfId="0" applyNumberFormat="1" applyFont="1" applyFill="1" applyAlignment="1">
      <alignment horizontal="right" vertical="center" wrapText="1"/>
    </xf>
    <xf numFmtId="165" fontId="6" fillId="4" borderId="0" xfId="7" applyNumberFormat="1" applyFont="1" applyFill="1" applyAlignment="1">
      <alignment horizontal="right" vertical="center" wrapText="1"/>
    </xf>
    <xf numFmtId="0" fontId="5" fillId="3" borderId="0" xfId="0" applyFont="1" applyFill="1" applyAlignment="1">
      <alignment horizontal="left" vertical="center" indent="2"/>
    </xf>
    <xf numFmtId="1" fontId="6" fillId="3" borderId="0" xfId="0" applyNumberFormat="1" applyFont="1" applyFill="1" applyAlignment="1">
      <alignment horizontal="right" vertical="center"/>
    </xf>
    <xf numFmtId="39" fontId="5" fillId="3" borderId="0" xfId="0" applyNumberFormat="1" applyFont="1" applyFill="1" applyAlignment="1">
      <alignment horizontal="left" vertical="center"/>
    </xf>
    <xf numFmtId="0" fontId="36" fillId="5" borderId="0" xfId="0" applyFont="1" applyFill="1" applyAlignment="1">
      <alignment horizontal="left" vertical="center" wrapText="1"/>
    </xf>
    <xf numFmtId="37" fontId="8" fillId="3" borderId="0" xfId="0" applyNumberFormat="1" applyFont="1" applyFill="1" applyAlignment="1">
      <alignment horizontal="right" vertical="center" wrapText="1"/>
    </xf>
    <xf numFmtId="165" fontId="5" fillId="7" borderId="0" xfId="0" applyNumberFormat="1" applyFont="1" applyFill="1" applyAlignment="1">
      <alignment horizontal="right" vertical="center"/>
    </xf>
    <xf numFmtId="9" fontId="8" fillId="3" borderId="0" xfId="6" applyFont="1" applyFill="1" applyAlignment="1" applyProtection="1">
      <alignment horizontal="right" vertical="center"/>
    </xf>
    <xf numFmtId="0" fontId="5" fillId="3" borderId="0" xfId="0" applyFont="1" applyFill="1" applyAlignment="1">
      <alignment horizontal="right" vertical="center"/>
    </xf>
    <xf numFmtId="39" fontId="5" fillId="3" borderId="0" xfId="0" applyNumberFormat="1" applyFont="1" applyFill="1" applyAlignment="1">
      <alignment horizontal="left" vertical="center" wrapText="1"/>
    </xf>
    <xf numFmtId="0" fontId="35" fillId="3" borderId="3" xfId="0" applyFont="1" applyFill="1" applyBorder="1" applyAlignment="1">
      <alignment horizontal="left" vertical="center"/>
    </xf>
    <xf numFmtId="0" fontId="35" fillId="3" borderId="3" xfId="0" applyFont="1" applyFill="1" applyBorder="1" applyAlignment="1">
      <alignment horizontal="right"/>
    </xf>
    <xf numFmtId="0" fontId="52" fillId="3" borderId="3" xfId="0" applyFont="1" applyFill="1" applyBorder="1" applyAlignment="1">
      <alignment horizontal="right"/>
    </xf>
    <xf numFmtId="37" fontId="10" fillId="3" borderId="0" xfId="7" applyNumberFormat="1" applyFont="1" applyFill="1" applyAlignment="1">
      <alignment vertical="top"/>
    </xf>
    <xf numFmtId="0" fontId="42" fillId="3" borderId="0" xfId="7" applyFont="1" applyFill="1"/>
    <xf numFmtId="0" fontId="16" fillId="23" borderId="0" xfId="4" quotePrefix="1" applyFont="1" applyFill="1" applyAlignment="1" applyProtection="1">
      <alignment horizontal="left"/>
    </xf>
    <xf numFmtId="0" fontId="61" fillId="23" borderId="0" xfId="5" applyFont="1" applyFill="1" applyAlignment="1">
      <alignment horizontal="left" vertical="center"/>
    </xf>
    <xf numFmtId="0" fontId="47" fillId="23" borderId="0" xfId="5" applyFont="1" applyFill="1" applyAlignment="1">
      <alignment horizontal="right"/>
    </xf>
    <xf numFmtId="49" fontId="47" fillId="23" borderId="0" xfId="5" applyNumberFormat="1" applyFont="1" applyFill="1" applyAlignment="1">
      <alignment horizontal="right"/>
    </xf>
    <xf numFmtId="3" fontId="52" fillId="23" borderId="0" xfId="5" applyNumberFormat="1" applyFont="1" applyFill="1" applyAlignment="1">
      <alignment horizontal="right"/>
    </xf>
    <xf numFmtId="0" fontId="39" fillId="23" borderId="0" xfId="5" applyFont="1" applyFill="1" applyAlignment="1">
      <alignment horizontal="right" vertical="center" wrapText="1"/>
    </xf>
    <xf numFmtId="0" fontId="39" fillId="23" borderId="0" xfId="5" applyFont="1" applyFill="1" applyAlignment="1">
      <alignment vertical="top" wrapText="1"/>
    </xf>
    <xf numFmtId="3" fontId="41" fillId="5" borderId="0" xfId="5" applyNumberFormat="1" applyFont="1" applyFill="1" applyAlignment="1">
      <alignment horizontal="right" vertical="center"/>
    </xf>
    <xf numFmtId="0" fontId="6" fillId="4" borderId="0" xfId="5" applyFont="1" applyFill="1" applyAlignment="1">
      <alignment horizontal="left" vertical="center" wrapText="1" indent="2"/>
    </xf>
    <xf numFmtId="3" fontId="6" fillId="0" borderId="0" xfId="5" applyNumberFormat="1" applyFont="1" applyAlignment="1">
      <alignment horizontal="right" vertical="center"/>
    </xf>
    <xf numFmtId="3" fontId="52" fillId="4" borderId="0" xfId="5" applyNumberFormat="1" applyFont="1" applyFill="1" applyAlignment="1">
      <alignment horizontal="right" vertical="center"/>
    </xf>
    <xf numFmtId="37" fontId="18" fillId="3" borderId="0" xfId="0" applyNumberFormat="1" applyFont="1" applyFill="1" applyAlignment="1">
      <alignment horizontal="left" vertical="center" indent="6"/>
    </xf>
    <xf numFmtId="37" fontId="18" fillId="3" borderId="0" xfId="5" applyNumberFormat="1" applyFont="1" applyFill="1" applyAlignment="1">
      <alignment horizontal="left" vertical="center" indent="6"/>
    </xf>
    <xf numFmtId="3" fontId="42" fillId="3" borderId="0" xfId="5" applyNumberFormat="1" applyFont="1" applyFill="1" applyAlignment="1">
      <alignment horizontal="right" vertical="center"/>
    </xf>
    <xf numFmtId="3" fontId="3" fillId="3" borderId="0" xfId="7" applyNumberFormat="1" applyFont="1" applyFill="1" applyAlignment="1">
      <alignment horizontal="left" vertical="center" wrapText="1"/>
    </xf>
    <xf numFmtId="0" fontId="7" fillId="8" borderId="0" xfId="5" applyFont="1" applyFill="1" applyAlignment="1">
      <alignment horizontal="left" vertical="center"/>
    </xf>
    <xf numFmtId="3" fontId="35" fillId="8" borderId="0" xfId="5" applyNumberFormat="1" applyFont="1" applyFill="1" applyAlignment="1">
      <alignment horizontal="right" vertical="center"/>
    </xf>
    <xf numFmtId="3" fontId="35" fillId="0" borderId="0" xfId="5" applyNumberFormat="1" applyFont="1" applyAlignment="1">
      <alignment horizontal="right" vertical="center"/>
    </xf>
    <xf numFmtId="3" fontId="52" fillId="0" borderId="0" xfId="5" applyNumberFormat="1" applyFont="1" applyAlignment="1">
      <alignment horizontal="right" vertical="center"/>
    </xf>
    <xf numFmtId="0" fontId="35" fillId="0" borderId="0" xfId="5" applyFont="1"/>
    <xf numFmtId="0" fontId="67" fillId="5" borderId="0" xfId="5" applyFont="1" applyFill="1" applyAlignment="1">
      <alignment horizontal="left" vertical="center"/>
    </xf>
    <xf numFmtId="3" fontId="52" fillId="3" borderId="0" xfId="5" applyNumberFormat="1" applyFont="1" applyFill="1" applyAlignment="1">
      <alignment horizontal="right" vertical="center"/>
    </xf>
    <xf numFmtId="173" fontId="6" fillId="3" borderId="0" xfId="5" applyNumberFormat="1" applyFont="1" applyFill="1" applyAlignment="1">
      <alignment horizontal="right" vertical="center"/>
    </xf>
    <xf numFmtId="3" fontId="6" fillId="8" borderId="0" xfId="5" applyNumberFormat="1" applyFont="1" applyFill="1" applyAlignment="1">
      <alignment horizontal="right" vertical="center"/>
    </xf>
    <xf numFmtId="37" fontId="5" fillId="3" borderId="0" xfId="5" applyNumberFormat="1" applyFont="1" applyFill="1" applyAlignment="1">
      <alignment horizontal="left" vertical="center"/>
    </xf>
    <xf numFmtId="3" fontId="3" fillId="3" borderId="0" xfId="7" applyNumberFormat="1" applyFont="1" applyFill="1" applyAlignment="1">
      <alignment vertical="center" wrapText="1"/>
    </xf>
    <xf numFmtId="0" fontId="48" fillId="9" borderId="0" xfId="0" applyFont="1" applyFill="1" applyAlignment="1">
      <alignment horizontal="right" vertical="center"/>
    </xf>
    <xf numFmtId="0" fontId="6" fillId="9" borderId="0" xfId="0" applyFont="1" applyFill="1" applyAlignment="1">
      <alignment horizontal="right" vertical="center"/>
    </xf>
    <xf numFmtId="0" fontId="48" fillId="21" borderId="0" xfId="0" applyFont="1" applyFill="1" applyAlignment="1">
      <alignment horizontal="right" vertical="center"/>
    </xf>
    <xf numFmtId="0" fontId="6" fillId="21" borderId="0" xfId="0" applyFont="1" applyFill="1" applyAlignment="1">
      <alignment horizontal="right" vertical="center"/>
    </xf>
    <xf numFmtId="39" fontId="6" fillId="3" borderId="0" xfId="5" applyNumberFormat="1" applyFont="1" applyFill="1" applyAlignment="1">
      <alignment horizontal="left" vertical="center" indent="1"/>
    </xf>
    <xf numFmtId="37" fontId="6" fillId="3" borderId="0" xfId="5" applyNumberFormat="1" applyFont="1" applyFill="1" applyAlignment="1">
      <alignment vertical="center"/>
    </xf>
    <xf numFmtId="0" fontId="43" fillId="3" borderId="0" xfId="5" applyFont="1" applyFill="1" applyAlignment="1">
      <alignment horizontal="left" vertical="center" wrapText="1"/>
    </xf>
    <xf numFmtId="173" fontId="35" fillId="3" borderId="0" xfId="5" applyNumberFormat="1" applyFont="1" applyFill="1" applyAlignment="1">
      <alignment horizontal="right" vertical="center"/>
    </xf>
    <xf numFmtId="0" fontId="7" fillId="8" borderId="0" xfId="5" applyFont="1" applyFill="1" applyAlignment="1">
      <alignment horizontal="left" vertical="center" wrapText="1"/>
    </xf>
    <xf numFmtId="0" fontId="68" fillId="8" borderId="0" xfId="5" applyFont="1" applyFill="1" applyAlignment="1">
      <alignment horizontal="left" vertical="center"/>
    </xf>
    <xf numFmtId="0" fontId="35" fillId="3" borderId="0" xfId="5" applyFont="1" applyFill="1" applyAlignment="1">
      <alignment horizontal="left" vertical="center" wrapText="1" indent="2"/>
    </xf>
    <xf numFmtId="37" fontId="6" fillId="3" borderId="0" xfId="5" applyNumberFormat="1" applyFont="1" applyFill="1" applyAlignment="1">
      <alignment vertical="center" wrapText="1"/>
    </xf>
    <xf numFmtId="167" fontId="6" fillId="3" borderId="0" xfId="5" applyNumberFormat="1" applyFont="1" applyFill="1" applyAlignment="1">
      <alignment horizontal="right" vertical="center"/>
    </xf>
    <xf numFmtId="37" fontId="49" fillId="3" borderId="0" xfId="7" applyNumberFormat="1" applyFont="1" applyFill="1" applyAlignment="1">
      <alignment horizontal="left" vertical="center" wrapText="1"/>
    </xf>
    <xf numFmtId="37" fontId="6" fillId="3" borderId="0" xfId="5" applyNumberFormat="1" applyFont="1" applyFill="1" applyAlignment="1">
      <alignment horizontal="left" vertical="center"/>
    </xf>
    <xf numFmtId="0" fontId="35" fillId="3" borderId="0" xfId="5" quotePrefix="1" applyFont="1" applyFill="1"/>
    <xf numFmtId="37" fontId="7" fillId="8" borderId="0" xfId="5" applyNumberFormat="1" applyFont="1" applyFill="1" applyAlignment="1">
      <alignment horizontal="left" vertical="center"/>
    </xf>
    <xf numFmtId="0" fontId="43" fillId="8" borderId="0" xfId="5" applyFont="1" applyFill="1" applyAlignment="1">
      <alignment horizontal="left" vertical="center" wrapText="1"/>
    </xf>
    <xf numFmtId="3" fontId="5" fillId="8" borderId="0" xfId="5" applyNumberFormat="1" applyFont="1" applyFill="1" applyAlignment="1">
      <alignment horizontal="right" vertical="center"/>
    </xf>
    <xf numFmtId="173" fontId="5" fillId="8" borderId="0" xfId="5" applyNumberFormat="1" applyFont="1" applyFill="1" applyAlignment="1">
      <alignment horizontal="right" vertical="center"/>
    </xf>
    <xf numFmtId="37" fontId="6" fillId="3" borderId="0" xfId="5" applyNumberFormat="1" applyFont="1" applyFill="1" applyAlignment="1">
      <alignment horizontal="left" vertical="center" indent="1"/>
    </xf>
    <xf numFmtId="3" fontId="38" fillId="8" borderId="0" xfId="5" applyNumberFormat="1" applyFont="1" applyFill="1" applyAlignment="1">
      <alignment horizontal="right" vertical="center"/>
    </xf>
    <xf numFmtId="3" fontId="7" fillId="8" borderId="0" xfId="5" applyNumberFormat="1" applyFont="1" applyFill="1" applyAlignment="1">
      <alignment horizontal="right" vertical="center"/>
    </xf>
    <xf numFmtId="4" fontId="6" fillId="3" borderId="0" xfId="5" applyNumberFormat="1" applyFont="1" applyFill="1" applyAlignment="1">
      <alignment horizontal="right" vertical="center"/>
    </xf>
    <xf numFmtId="37" fontId="3" fillId="3" borderId="0" xfId="7" applyNumberFormat="1" applyFont="1" applyFill="1" applyAlignment="1">
      <alignment horizontal="left" vertical="top" wrapText="1"/>
    </xf>
    <xf numFmtId="3" fontId="3" fillId="3" borderId="0" xfId="7" applyNumberFormat="1" applyFont="1" applyFill="1" applyAlignment="1">
      <alignment horizontal="left" vertical="top" wrapText="1"/>
    </xf>
    <xf numFmtId="37" fontId="3" fillId="3" borderId="0" xfId="7" applyNumberFormat="1" applyFont="1" applyFill="1" applyAlignment="1">
      <alignment horizontal="left" vertical="top"/>
    </xf>
    <xf numFmtId="37" fontId="6" fillId="3" borderId="0" xfId="0" applyNumberFormat="1" applyFont="1" applyFill="1" applyAlignment="1">
      <alignment horizontal="left" vertical="center"/>
    </xf>
    <xf numFmtId="0" fontId="69" fillId="9" borderId="0" xfId="0" applyFont="1" applyFill="1" applyAlignment="1">
      <alignment horizontal="left" vertical="center"/>
    </xf>
    <xf numFmtId="3" fontId="6" fillId="9" borderId="0" xfId="0" applyNumberFormat="1" applyFont="1" applyFill="1" applyAlignment="1">
      <alignment horizontal="right" vertical="center"/>
    </xf>
    <xf numFmtId="0" fontId="8" fillId="3" borderId="0" xfId="5" applyFont="1" applyFill="1" applyAlignment="1">
      <alignment horizontal="left" vertical="center"/>
    </xf>
    <xf numFmtId="3" fontId="41" fillId="4" borderId="0" xfId="5" applyNumberFormat="1" applyFont="1" applyFill="1" applyAlignment="1">
      <alignment horizontal="right" vertical="center"/>
    </xf>
    <xf numFmtId="0" fontId="6" fillId="0" borderId="0" xfId="0" applyFont="1" applyAlignment="1">
      <alignment horizontal="right" vertical="center"/>
    </xf>
    <xf numFmtId="0" fontId="5" fillId="9" borderId="0" xfId="0" applyFont="1" applyFill="1" applyAlignment="1">
      <alignment horizontal="right" vertical="center"/>
    </xf>
    <xf numFmtId="3" fontId="35" fillId="3" borderId="3" xfId="5" applyNumberFormat="1" applyFont="1" applyFill="1" applyBorder="1" applyAlignment="1">
      <alignment horizontal="right"/>
    </xf>
    <xf numFmtId="3" fontId="52" fillId="3" borderId="3" xfId="5" applyNumberFormat="1" applyFont="1" applyFill="1" applyBorder="1" applyAlignment="1">
      <alignment horizontal="right"/>
    </xf>
    <xf numFmtId="37" fontId="70" fillId="3" borderId="0" xfId="5" applyNumberFormat="1" applyFont="1" applyFill="1" applyAlignment="1">
      <alignment vertical="top"/>
    </xf>
    <xf numFmtId="0" fontId="71" fillId="0" borderId="0" xfId="0" applyFont="1" applyAlignment="1">
      <alignment vertical="center"/>
    </xf>
    <xf numFmtId="49" fontId="36" fillId="3" borderId="0" xfId="5" applyNumberFormat="1" applyFont="1" applyFill="1" applyAlignment="1">
      <alignment horizontal="right" vertical="center"/>
    </xf>
    <xf numFmtId="1" fontId="6" fillId="3" borderId="0" xfId="5" applyNumberFormat="1" applyFont="1" applyFill="1" applyAlignment="1">
      <alignment horizontal="right" vertical="center"/>
    </xf>
    <xf numFmtId="37" fontId="6" fillId="0" borderId="4" xfId="7" applyNumberFormat="1" applyFont="1" applyBorder="1" applyAlignment="1">
      <alignment horizontal="left" vertical="center"/>
    </xf>
    <xf numFmtId="0" fontId="7" fillId="0" borderId="4" xfId="7" applyFont="1" applyBorder="1" applyAlignment="1">
      <alignment horizontal="left" vertical="center"/>
    </xf>
    <xf numFmtId="0" fontId="16" fillId="14" borderId="0" xfId="4" quotePrefix="1" applyFont="1" applyFill="1" applyAlignment="1" applyProtection="1">
      <alignment horizontal="left"/>
    </xf>
    <xf numFmtId="0" fontId="61" fillId="14" borderId="0" xfId="5" applyFont="1" applyFill="1" applyAlignment="1">
      <alignment horizontal="left" vertical="center"/>
    </xf>
    <xf numFmtId="0" fontId="47" fillId="14" borderId="0" xfId="5" applyFont="1" applyFill="1" applyAlignment="1">
      <alignment horizontal="right"/>
    </xf>
    <xf numFmtId="49" fontId="47" fillId="14" borderId="0" xfId="5" applyNumberFormat="1" applyFont="1" applyFill="1" applyAlignment="1">
      <alignment horizontal="right"/>
    </xf>
    <xf numFmtId="3" fontId="52" fillId="14" borderId="0" xfId="5" applyNumberFormat="1" applyFont="1" applyFill="1" applyAlignment="1">
      <alignment horizontal="right"/>
    </xf>
    <xf numFmtId="0" fontId="39" fillId="14" borderId="0" xfId="5" applyFont="1" applyFill="1" applyAlignment="1">
      <alignment horizontal="right" vertical="center" wrapText="1"/>
    </xf>
    <xf numFmtId="0" fontId="39" fillId="14" borderId="0" xfId="5" applyFont="1" applyFill="1" applyAlignment="1">
      <alignment vertical="top" wrapText="1"/>
    </xf>
    <xf numFmtId="49" fontId="72" fillId="6" borderId="0" xfId="7" applyNumberFormat="1" applyFont="1" applyFill="1" applyAlignment="1">
      <alignment horizontal="left" vertical="center"/>
    </xf>
    <xf numFmtId="0" fontId="43" fillId="8" borderId="0" xfId="7" applyFont="1" applyFill="1" applyAlignment="1">
      <alignment horizontal="left" vertical="center" wrapText="1"/>
    </xf>
    <xf numFmtId="175" fontId="5" fillId="8" borderId="0" xfId="9" applyNumberFormat="1" applyFont="1" applyFill="1" applyAlignment="1" applyProtection="1">
      <alignment horizontal="right" vertical="center"/>
    </xf>
    <xf numFmtId="0" fontId="43" fillId="3" borderId="0" xfId="7" applyFont="1" applyFill="1" applyAlignment="1">
      <alignment horizontal="left" vertical="center"/>
    </xf>
    <xf numFmtId="2" fontId="35" fillId="3" borderId="0" xfId="7" applyNumberFormat="1" applyFont="1" applyFill="1" applyAlignment="1">
      <alignment horizontal="right" vertical="center"/>
    </xf>
    <xf numFmtId="0" fontId="6" fillId="3" borderId="0" xfId="7" applyFont="1" applyFill="1" applyAlignment="1">
      <alignment horizontal="right" vertical="center"/>
    </xf>
    <xf numFmtId="169" fontId="35" fillId="3" borderId="0" xfId="7" applyNumberFormat="1" applyFont="1" applyFill="1" applyAlignment="1">
      <alignment horizontal="right" vertical="center"/>
    </xf>
    <xf numFmtId="169" fontId="6" fillId="7" borderId="0" xfId="7" applyNumberFormat="1" applyFont="1" applyFill="1" applyAlignment="1">
      <alignment horizontal="right" vertical="center"/>
    </xf>
    <xf numFmtId="168" fontId="6" fillId="3" borderId="0" xfId="7" applyNumberFormat="1" applyFont="1" applyFill="1" applyAlignment="1">
      <alignment horizontal="right" vertical="center"/>
    </xf>
    <xf numFmtId="37" fontId="6" fillId="3" borderId="0" xfId="7" applyNumberFormat="1" applyFont="1" applyFill="1" applyAlignment="1">
      <alignment vertical="center"/>
    </xf>
    <xf numFmtId="0" fontId="36" fillId="3" borderId="0" xfId="7" applyFont="1" applyFill="1" applyAlignment="1">
      <alignment horizontal="left" vertical="center"/>
    </xf>
    <xf numFmtId="49" fontId="72" fillId="3" borderId="0" xfId="7" applyNumberFormat="1" applyFont="1" applyFill="1" applyAlignment="1">
      <alignment horizontal="left" vertical="center"/>
    </xf>
    <xf numFmtId="0" fontId="7" fillId="8" borderId="0" xfId="7" applyFont="1" applyFill="1" applyAlignment="1">
      <alignment horizontal="left" vertical="center"/>
    </xf>
    <xf numFmtId="0" fontId="8" fillId="8" borderId="0" xfId="7" applyFont="1" applyFill="1" applyAlignment="1">
      <alignment horizontal="left" vertical="center"/>
    </xf>
    <xf numFmtId="0" fontId="6" fillId="4" borderId="0" xfId="5" applyFont="1" applyFill="1" applyAlignment="1">
      <alignment horizontal="left" vertical="center"/>
    </xf>
    <xf numFmtId="165" fontId="35" fillId="4" borderId="0" xfId="5" applyNumberFormat="1" applyFont="1" applyFill="1" applyAlignment="1">
      <alignment horizontal="right" vertical="center"/>
    </xf>
    <xf numFmtId="0" fontId="8" fillId="3" borderId="0" xfId="7" applyFont="1" applyFill="1" applyAlignment="1">
      <alignment horizontal="left" vertical="center"/>
    </xf>
    <xf numFmtId="164" fontId="6" fillId="3" borderId="0" xfId="7" applyNumberFormat="1" applyFont="1" applyFill="1" applyAlignment="1">
      <alignment horizontal="right" vertical="center"/>
    </xf>
    <xf numFmtId="37" fontId="6" fillId="3" borderId="0" xfId="7" applyNumberFormat="1" applyFont="1" applyFill="1" applyAlignment="1">
      <alignment horizontal="left" vertical="center" indent="2"/>
    </xf>
    <xf numFmtId="37" fontId="6" fillId="3" borderId="0" xfId="7" applyNumberFormat="1" applyFont="1" applyFill="1" applyAlignment="1">
      <alignment vertical="center" wrapText="1"/>
    </xf>
    <xf numFmtId="168" fontId="35" fillId="3" borderId="0" xfId="7" applyNumberFormat="1" applyFont="1" applyFill="1" applyAlignment="1">
      <alignment horizontal="right" vertical="center"/>
    </xf>
    <xf numFmtId="37" fontId="18" fillId="3" borderId="0" xfId="7" applyNumberFormat="1" applyFont="1" applyFill="1" applyAlignment="1">
      <alignment horizontal="left" vertical="center" wrapText="1"/>
    </xf>
    <xf numFmtId="0" fontId="6" fillId="4" borderId="0" xfId="5" applyFont="1" applyFill="1" applyAlignment="1">
      <alignment horizontal="left" vertical="center" wrapText="1"/>
    </xf>
    <xf numFmtId="37" fontId="6" fillId="0" borderId="0" xfId="7" applyNumberFormat="1" applyFont="1" applyAlignment="1">
      <alignment vertical="center"/>
    </xf>
    <xf numFmtId="37" fontId="5" fillId="3" borderId="0" xfId="5" applyNumberFormat="1" applyFont="1" applyFill="1" applyAlignment="1">
      <alignment horizontal="left" vertical="center" wrapText="1" indent="2"/>
    </xf>
    <xf numFmtId="0" fontId="43" fillId="8" borderId="0" xfId="0" applyFont="1" applyFill="1" applyAlignment="1">
      <alignment horizontal="left" vertical="center"/>
    </xf>
    <xf numFmtId="165" fontId="6" fillId="8" borderId="0" xfId="0" applyNumberFormat="1" applyFont="1" applyFill="1" applyAlignment="1">
      <alignment horizontal="right" vertical="center"/>
    </xf>
    <xf numFmtId="0" fontId="7" fillId="8" borderId="0" xfId="0" applyFont="1" applyFill="1" applyAlignment="1">
      <alignment horizontal="right" vertical="center"/>
    </xf>
    <xf numFmtId="0" fontId="35" fillId="8" borderId="0" xfId="0" applyFont="1" applyFill="1" applyAlignment="1">
      <alignment horizontal="right" vertical="center"/>
    </xf>
    <xf numFmtId="174" fontId="35" fillId="3" borderId="0" xfId="0" applyNumberFormat="1" applyFont="1" applyFill="1" applyAlignment="1">
      <alignment horizontal="right" vertical="center"/>
    </xf>
    <xf numFmtId="0" fontId="35" fillId="3" borderId="3" xfId="7" applyFont="1" applyFill="1" applyBorder="1"/>
    <xf numFmtId="0" fontId="38" fillId="3" borderId="0" xfId="7" applyFont="1" applyFill="1" applyAlignment="1">
      <alignment wrapText="1"/>
    </xf>
    <xf numFmtId="37" fontId="6" fillId="3" borderId="0" xfId="7" applyNumberFormat="1" applyFont="1" applyFill="1" applyAlignment="1">
      <alignment vertical="top"/>
    </xf>
    <xf numFmtId="0" fontId="16" fillId="24" borderId="0" xfId="4" quotePrefix="1" applyFont="1" applyFill="1" applyAlignment="1" applyProtection="1">
      <alignment horizontal="left"/>
    </xf>
    <xf numFmtId="0" fontId="8" fillId="3" borderId="0" xfId="0" applyFont="1" applyFill="1" applyAlignment="1" applyProtection="1">
      <alignment horizontal="right" vertical="center" wrapText="1"/>
      <protection locked="0"/>
    </xf>
    <xf numFmtId="165" fontId="35" fillId="3" borderId="0" xfId="0" applyNumberFormat="1" applyFont="1" applyFill="1" applyAlignment="1">
      <alignment horizontal="right" vertical="center"/>
    </xf>
    <xf numFmtId="37" fontId="5" fillId="3" borderId="0" xfId="0" applyNumberFormat="1" applyFont="1" applyFill="1" applyAlignment="1">
      <alignment horizontal="left" vertical="center"/>
    </xf>
    <xf numFmtId="37" fontId="5" fillId="3" borderId="0" xfId="0" applyNumberFormat="1" applyFont="1" applyFill="1" applyAlignment="1">
      <alignment vertical="center"/>
    </xf>
    <xf numFmtId="164" fontId="46" fillId="3" borderId="0" xfId="0" applyNumberFormat="1" applyFont="1" applyFill="1" applyAlignment="1">
      <alignment horizontal="center" vertical="center"/>
    </xf>
    <xf numFmtId="175" fontId="5" fillId="3" borderId="0" xfId="9" applyNumberFormat="1" applyFont="1" applyFill="1" applyAlignment="1" applyProtection="1">
      <alignment horizontal="right" vertical="center"/>
    </xf>
    <xf numFmtId="175" fontId="8" fillId="3" borderId="0" xfId="9" applyNumberFormat="1" applyFont="1" applyFill="1" applyAlignment="1" applyProtection="1">
      <alignment horizontal="right" vertical="center" wrapText="1"/>
    </xf>
    <xf numFmtId="175" fontId="8" fillId="3" borderId="0" xfId="9" applyNumberFormat="1" applyFont="1" applyFill="1" applyAlignment="1" applyProtection="1">
      <alignment horizontal="right" vertical="center"/>
    </xf>
    <xf numFmtId="0" fontId="36" fillId="5" borderId="0" xfId="0" applyFont="1" applyFill="1" applyAlignment="1" applyProtection="1">
      <alignment horizontal="left" vertical="center"/>
      <protection locked="0"/>
    </xf>
    <xf numFmtId="0" fontId="6" fillId="3" borderId="0" xfId="0" applyFont="1" applyFill="1" applyAlignment="1" applyProtection="1">
      <alignment vertical="center" wrapText="1"/>
      <protection locked="0"/>
    </xf>
    <xf numFmtId="0" fontId="36" fillId="5" borderId="0" xfId="0" applyFont="1" applyFill="1" applyAlignment="1" applyProtection="1">
      <alignment horizontal="left" vertical="center" wrapText="1"/>
      <protection locked="0"/>
    </xf>
    <xf numFmtId="3" fontId="6" fillId="8" borderId="0" xfId="0" applyNumberFormat="1" applyFont="1" applyFill="1" applyAlignment="1" applyProtection="1">
      <alignment horizontal="right" vertical="center"/>
      <protection locked="0"/>
    </xf>
    <xf numFmtId="0" fontId="76" fillId="3" borderId="3" xfId="0" applyFont="1" applyFill="1" applyBorder="1"/>
    <xf numFmtId="0" fontId="44" fillId="3" borderId="3" xfId="0" applyFont="1" applyFill="1" applyBorder="1"/>
    <xf numFmtId="0" fontId="77" fillId="3" borderId="3" xfId="0" applyFont="1" applyFill="1" applyBorder="1"/>
    <xf numFmtId="0" fontId="52" fillId="3" borderId="0" xfId="0" applyFont="1" applyFill="1"/>
    <xf numFmtId="0" fontId="16" fillId="25" borderId="0" xfId="4" quotePrefix="1" applyFont="1" applyFill="1" applyAlignment="1" applyProtection="1">
      <alignment horizontal="left"/>
    </xf>
    <xf numFmtId="168" fontId="46" fillId="3" borderId="0" xfId="0" applyNumberFormat="1" applyFont="1" applyFill="1" applyAlignment="1">
      <alignment horizontal="right" vertical="center"/>
    </xf>
    <xf numFmtId="37" fontId="79" fillId="3" borderId="0" xfId="4" applyNumberFormat="1" applyFont="1" applyFill="1" applyAlignment="1" applyProtection="1">
      <alignment horizontal="left" vertical="center"/>
    </xf>
    <xf numFmtId="0" fontId="80" fillId="3" borderId="0" xfId="7" applyFont="1" applyFill="1" applyAlignment="1">
      <alignment horizontal="right" vertical="top"/>
    </xf>
    <xf numFmtId="0" fontId="80" fillId="3" borderId="0" xfId="5" applyFont="1" applyFill="1" applyAlignment="1">
      <alignment horizontal="right"/>
    </xf>
    <xf numFmtId="0" fontId="81" fillId="3" borderId="0" xfId="5" applyFont="1" applyFill="1" applyAlignment="1">
      <alignment horizontal="right"/>
    </xf>
    <xf numFmtId="37" fontId="79" fillId="3" borderId="0" xfId="4" applyNumberFormat="1" applyFont="1" applyFill="1" applyAlignment="1" applyProtection="1">
      <alignment horizontal="right"/>
    </xf>
    <xf numFmtId="0" fontId="80" fillId="3" borderId="0" xfId="5" applyFont="1" applyFill="1" applyAlignment="1">
      <alignment horizontal="left" vertical="center"/>
    </xf>
    <xf numFmtId="49" fontId="80" fillId="3" borderId="0" xfId="5" applyNumberFormat="1" applyFont="1" applyFill="1" applyAlignment="1">
      <alignment horizontal="right"/>
    </xf>
    <xf numFmtId="0" fontId="80" fillId="3" borderId="0" xfId="7" applyFont="1" applyFill="1"/>
    <xf numFmtId="0" fontId="21" fillId="0" borderId="4" xfId="7" applyFont="1" applyBorder="1" applyAlignment="1">
      <alignment horizontal="left" vertical="center"/>
    </xf>
    <xf numFmtId="0" fontId="79" fillId="3" borderId="0" xfId="4" applyFont="1" applyFill="1" applyAlignment="1" applyProtection="1">
      <alignment vertical="center"/>
    </xf>
    <xf numFmtId="49" fontId="8" fillId="3" borderId="0" xfId="0" applyNumberFormat="1" applyFont="1" applyFill="1" applyAlignment="1" applyProtection="1">
      <alignment horizontal="right" vertical="center" wrapText="1"/>
      <protection locked="0"/>
    </xf>
    <xf numFmtId="0" fontId="8" fillId="3" borderId="0" xfId="0" applyFont="1" applyFill="1" applyAlignment="1" applyProtection="1">
      <alignment horizontal="right" vertical="center"/>
      <protection locked="0"/>
    </xf>
    <xf numFmtId="3" fontId="6" fillId="4" borderId="0" xfId="0" applyNumberFormat="1" applyFont="1" applyFill="1" applyAlignment="1">
      <alignment horizontal="right" vertical="center"/>
    </xf>
    <xf numFmtId="0" fontId="12" fillId="20" borderId="0" xfId="4" quotePrefix="1" applyFont="1" applyFill="1" applyAlignment="1">
      <alignment horizontal="left" vertical="top"/>
    </xf>
    <xf numFmtId="0" fontId="13" fillId="20" borderId="0" xfId="4" quotePrefix="1" applyFont="1" applyFill="1" applyAlignment="1">
      <alignment horizontal="left"/>
    </xf>
    <xf numFmtId="0" fontId="12" fillId="22" borderId="0" xfId="4" quotePrefix="1" applyFont="1" applyFill="1" applyAlignment="1">
      <alignment horizontal="left" vertical="top"/>
    </xf>
    <xf numFmtId="0" fontId="13" fillId="22" borderId="0" xfId="4" quotePrefix="1" applyFont="1" applyFill="1" applyAlignment="1">
      <alignment horizontal="left"/>
    </xf>
    <xf numFmtId="0" fontId="12" fillId="24" borderId="0" xfId="4" quotePrefix="1" applyFont="1" applyFill="1" applyAlignment="1">
      <alignment horizontal="left" vertical="top"/>
    </xf>
    <xf numFmtId="0" fontId="15" fillId="24" borderId="0" xfId="4" quotePrefix="1" applyFont="1" applyFill="1" applyAlignment="1">
      <alignment horizontal="left"/>
    </xf>
    <xf numFmtId="0" fontId="12" fillId="25" borderId="0" xfId="4" quotePrefix="1" applyFont="1" applyFill="1" applyAlignment="1">
      <alignment horizontal="left" vertical="top"/>
    </xf>
    <xf numFmtId="0" fontId="4" fillId="25" borderId="0" xfId="0" applyFont="1" applyFill="1" applyAlignment="1" applyProtection="1">
      <alignment horizontal="left"/>
      <protection locked="0"/>
    </xf>
    <xf numFmtId="0" fontId="35" fillId="3" borderId="0" xfId="5" applyFont="1" applyFill="1" applyAlignment="1">
      <alignment horizontal="center" vertical="center"/>
    </xf>
    <xf numFmtId="0" fontId="35" fillId="3" borderId="0" xfId="7" applyFont="1" applyFill="1" applyAlignment="1">
      <alignment horizontal="center" vertical="center"/>
    </xf>
    <xf numFmtId="175" fontId="6" fillId="3" borderId="0" xfId="1" applyNumberFormat="1" applyFont="1" applyFill="1" applyAlignment="1" applyProtection="1">
      <alignment horizontal="right" vertical="center"/>
    </xf>
    <xf numFmtId="0" fontId="82" fillId="3" borderId="0" xfId="4" applyFont="1" applyFill="1" applyAlignment="1" applyProtection="1">
      <alignment horizontal="left" vertical="center"/>
    </xf>
    <xf numFmtId="167" fontId="5" fillId="3" borderId="0" xfId="0" applyNumberFormat="1" applyFont="1" applyFill="1" applyAlignment="1">
      <alignment horizontal="right" vertical="center"/>
    </xf>
    <xf numFmtId="0" fontId="72" fillId="3" borderId="0" xfId="7" applyFont="1" applyFill="1" applyAlignment="1">
      <alignment horizontal="left" vertical="center"/>
    </xf>
    <xf numFmtId="37" fontId="6" fillId="3" borderId="4" xfId="7" applyNumberFormat="1" applyFont="1" applyFill="1" applyBorder="1" applyAlignment="1">
      <alignment horizontal="left" vertical="center"/>
    </xf>
    <xf numFmtId="0" fontId="35" fillId="3" borderId="0" xfId="7" applyFont="1" applyFill="1" applyAlignment="1">
      <alignment horizontal="right" vertical="center"/>
    </xf>
    <xf numFmtId="0" fontId="52" fillId="3" borderId="0" xfId="7" applyFont="1" applyFill="1" applyAlignment="1">
      <alignment horizontal="right" vertical="center"/>
    </xf>
    <xf numFmtId="165" fontId="43" fillId="4" borderId="0" xfId="5" applyNumberFormat="1" applyFont="1" applyFill="1" applyAlignment="1">
      <alignment horizontal="right" vertical="center"/>
    </xf>
    <xf numFmtId="37" fontId="3" fillId="3" borderId="0" xfId="7" applyNumberFormat="1" applyFont="1" applyFill="1" applyAlignment="1">
      <alignment horizontal="right" vertical="center" wrapText="1"/>
    </xf>
    <xf numFmtId="37" fontId="6" fillId="3" borderId="0" xfId="7" applyNumberFormat="1" applyFont="1" applyFill="1" applyAlignment="1">
      <alignment horizontal="right" vertical="center" wrapText="1"/>
    </xf>
    <xf numFmtId="37" fontId="18" fillId="3" borderId="0" xfId="7" applyNumberFormat="1" applyFont="1" applyFill="1" applyAlignment="1">
      <alignment horizontal="right" vertical="center" wrapText="1"/>
    </xf>
    <xf numFmtId="0" fontId="43" fillId="8" borderId="0" xfId="0" applyFont="1" applyFill="1" applyAlignment="1">
      <alignment horizontal="right" vertical="center"/>
    </xf>
    <xf numFmtId="0" fontId="8" fillId="4" borderId="0" xfId="5" applyFont="1" applyFill="1" applyAlignment="1">
      <alignment horizontal="left" vertical="center"/>
    </xf>
    <xf numFmtId="0" fontId="83" fillId="20" borderId="0" xfId="4" quotePrefix="1" applyNumberFormat="1" applyFont="1" applyFill="1" applyAlignment="1">
      <alignment horizontal="right" vertical="center"/>
    </xf>
    <xf numFmtId="0" fontId="83" fillId="22" borderId="0" xfId="4" quotePrefix="1" applyNumberFormat="1" applyFont="1" applyFill="1" applyAlignment="1">
      <alignment horizontal="right" vertical="center"/>
    </xf>
    <xf numFmtId="0" fontId="83" fillId="23" borderId="0" xfId="4" quotePrefix="1" applyNumberFormat="1" applyFont="1" applyFill="1" applyAlignment="1">
      <alignment horizontal="right" vertical="center"/>
    </xf>
    <xf numFmtId="0" fontId="83" fillId="24" borderId="0" xfId="4" quotePrefix="1" applyNumberFormat="1" applyFont="1" applyFill="1" applyAlignment="1">
      <alignment horizontal="right" vertical="center"/>
    </xf>
    <xf numFmtId="0" fontId="83" fillId="14" borderId="0" xfId="4" quotePrefix="1" applyNumberFormat="1" applyFont="1" applyFill="1" applyAlignment="1">
      <alignment horizontal="right" vertical="center"/>
    </xf>
    <xf numFmtId="0" fontId="83" fillId="25" borderId="0" xfId="4" quotePrefix="1" applyNumberFormat="1" applyFont="1" applyFill="1" applyAlignment="1">
      <alignment horizontal="right" vertical="center"/>
    </xf>
    <xf numFmtId="0" fontId="83" fillId="17" borderId="0" xfId="4" quotePrefix="1" applyNumberFormat="1" applyFont="1" applyFill="1" applyAlignment="1">
      <alignment horizontal="right" vertical="center"/>
    </xf>
    <xf numFmtId="0" fontId="83" fillId="16" borderId="0" xfId="4" quotePrefix="1" applyNumberFormat="1" applyFont="1" applyFill="1" applyAlignment="1">
      <alignment horizontal="right" vertical="center"/>
    </xf>
    <xf numFmtId="0" fontId="84" fillId="3" borderId="0" xfId="4" quotePrefix="1" applyFont="1" applyFill="1" applyAlignment="1">
      <alignment horizontal="left" vertical="center" wrapText="1" indent="2"/>
    </xf>
    <xf numFmtId="37" fontId="49" fillId="3" borderId="0" xfId="7" applyNumberFormat="1" applyFont="1" applyFill="1" applyAlignment="1">
      <alignment horizontal="right" vertical="center"/>
    </xf>
    <xf numFmtId="37" fontId="6" fillId="3" borderId="0" xfId="5" applyNumberFormat="1" applyFont="1" applyFill="1" applyAlignment="1">
      <alignment horizontal="left" vertical="center" indent="4"/>
    </xf>
    <xf numFmtId="37" fontId="6" fillId="3" borderId="0" xfId="0" applyNumberFormat="1" applyFont="1" applyFill="1" applyAlignment="1">
      <alignment horizontal="left" vertical="center" indent="6"/>
    </xf>
    <xf numFmtId="37" fontId="6" fillId="3" borderId="0" xfId="5" applyNumberFormat="1" applyFont="1" applyFill="1" applyAlignment="1">
      <alignment horizontal="left" vertical="center" indent="6"/>
    </xf>
    <xf numFmtId="0" fontId="10" fillId="3" borderId="0" xfId="5" applyFont="1" applyFill="1"/>
    <xf numFmtId="0" fontId="6" fillId="3" borderId="0" xfId="5" applyFont="1" applyFill="1" applyAlignment="1">
      <alignment horizontal="right"/>
    </xf>
    <xf numFmtId="0" fontId="19" fillId="3" borderId="0" xfId="5" applyFont="1" applyFill="1" applyAlignment="1">
      <alignment horizontal="right"/>
    </xf>
    <xf numFmtId="3" fontId="18" fillId="3" borderId="0" xfId="5" applyNumberFormat="1" applyFont="1" applyFill="1" applyAlignment="1">
      <alignment horizontal="right" vertical="center"/>
    </xf>
    <xf numFmtId="37" fontId="85" fillId="3" borderId="0" xfId="4" applyNumberFormat="1" applyFont="1" applyFill="1" applyBorder="1" applyAlignment="1" applyProtection="1">
      <alignment horizontal="left" vertical="center"/>
      <protection locked="0"/>
    </xf>
    <xf numFmtId="164" fontId="86" fillId="4" borderId="0" xfId="0" applyNumberFormat="1" applyFont="1" applyFill="1" applyAlignment="1">
      <alignment horizontal="right" vertical="center"/>
    </xf>
    <xf numFmtId="0" fontId="87" fillId="4" borderId="0" xfId="0" applyFont="1" applyFill="1" applyAlignment="1" applyProtection="1">
      <alignment horizontal="right" vertical="center"/>
      <protection locked="0"/>
    </xf>
    <xf numFmtId="0" fontId="88" fillId="4" borderId="0" xfId="0" applyFont="1" applyFill="1" applyAlignment="1">
      <alignment horizontal="right" vertical="center"/>
    </xf>
    <xf numFmtId="0" fontId="17" fillId="21" borderId="0" xfId="0" applyFont="1" applyFill="1" applyAlignment="1" applyProtection="1">
      <alignment horizontal="right" vertical="center"/>
      <protection locked="0"/>
    </xf>
    <xf numFmtId="3" fontId="5" fillId="12" borderId="0" xfId="0" applyNumberFormat="1" applyFont="1" applyFill="1" applyAlignment="1" applyProtection="1">
      <alignment horizontal="right" vertical="center"/>
      <protection locked="0"/>
    </xf>
    <xf numFmtId="3" fontId="5" fillId="7" borderId="0" xfId="0" applyNumberFormat="1" applyFont="1" applyFill="1" applyAlignment="1" applyProtection="1">
      <alignment horizontal="right" vertical="center"/>
      <protection locked="0"/>
    </xf>
    <xf numFmtId="0" fontId="0" fillId="3" borderId="0" xfId="0" applyFill="1" applyAlignment="1">
      <alignment horizontal="right" vertical="center"/>
    </xf>
    <xf numFmtId="0" fontId="8" fillId="9" borderId="0" xfId="0" applyFont="1" applyFill="1" applyAlignment="1" applyProtection="1">
      <alignment horizontal="right" vertical="center" wrapText="1"/>
      <protection locked="0"/>
    </xf>
    <xf numFmtId="168" fontId="5" fillId="3" borderId="0" xfId="0" applyNumberFormat="1" applyFont="1" applyFill="1" applyAlignment="1">
      <alignment horizontal="right" vertical="center"/>
    </xf>
    <xf numFmtId="168" fontId="6" fillId="3" borderId="0" xfId="0" applyNumberFormat="1" applyFont="1" applyFill="1" applyAlignment="1" applyProtection="1">
      <alignment horizontal="right" vertical="center"/>
      <protection locked="0"/>
    </xf>
    <xf numFmtId="168" fontId="5" fillId="7" borderId="0" xfId="0" applyNumberFormat="1" applyFont="1" applyFill="1" applyAlignment="1" applyProtection="1">
      <alignment horizontal="right" vertical="center"/>
      <protection locked="0"/>
    </xf>
    <xf numFmtId="164" fontId="5" fillId="7" borderId="0" xfId="0" applyNumberFormat="1" applyFont="1" applyFill="1" applyAlignment="1">
      <alignment horizontal="right" vertical="center"/>
    </xf>
    <xf numFmtId="0" fontId="4" fillId="8" borderId="0" xfId="0" applyFont="1" applyFill="1" applyAlignment="1">
      <alignment horizontal="right" vertical="center"/>
    </xf>
    <xf numFmtId="0" fontId="8" fillId="4" borderId="0" xfId="0" applyFont="1" applyFill="1" applyAlignment="1" applyProtection="1">
      <alignment horizontal="right" vertical="center"/>
      <protection locked="0"/>
    </xf>
    <xf numFmtId="0" fontId="8" fillId="8" borderId="0" xfId="0" applyFont="1" applyFill="1" applyAlignment="1" applyProtection="1">
      <alignment horizontal="right" vertical="center" wrapText="1"/>
      <protection locked="0"/>
    </xf>
    <xf numFmtId="180" fontId="8" fillId="4" borderId="0" xfId="0" applyNumberFormat="1" applyFont="1" applyFill="1" applyAlignment="1" applyProtection="1">
      <alignment horizontal="right" vertical="center"/>
      <protection locked="0"/>
    </xf>
    <xf numFmtId="0" fontId="8" fillId="9" borderId="0" xfId="0" applyFont="1" applyFill="1" applyAlignment="1" applyProtection="1">
      <alignment horizontal="right" vertical="center"/>
      <protection locked="0"/>
    </xf>
    <xf numFmtId="0" fontId="8" fillId="21" borderId="0" xfId="0" applyFont="1" applyFill="1" applyAlignment="1" applyProtection="1">
      <alignment horizontal="right" vertical="center"/>
      <protection locked="0"/>
    </xf>
    <xf numFmtId="0" fontId="50" fillId="12" borderId="0" xfId="0" applyFont="1" applyFill="1" applyAlignment="1" applyProtection="1">
      <alignment horizontal="right" vertical="center"/>
      <protection locked="0"/>
    </xf>
    <xf numFmtId="0" fontId="26" fillId="3" borderId="0" xfId="0" applyFont="1" applyFill="1" applyAlignment="1">
      <alignment horizontal="right" vertical="center"/>
    </xf>
    <xf numFmtId="0" fontId="37" fillId="3" borderId="0" xfId="5" applyFont="1" applyFill="1" applyAlignment="1">
      <alignment horizontal="right" vertical="center" wrapText="1"/>
    </xf>
    <xf numFmtId="37" fontId="8" fillId="3" borderId="0" xfId="5" applyNumberFormat="1" applyFont="1" applyFill="1" applyAlignment="1">
      <alignment horizontal="right" vertical="center"/>
    </xf>
    <xf numFmtId="0" fontId="63" fillId="19" borderId="0" xfId="0" applyFont="1" applyFill="1" applyAlignment="1" applyProtection="1">
      <alignment horizontal="right" vertical="center"/>
      <protection locked="0"/>
    </xf>
    <xf numFmtId="171" fontId="5" fillId="8" borderId="0" xfId="0" applyNumberFormat="1" applyFont="1" applyFill="1" applyAlignment="1">
      <alignment horizontal="right" vertical="center"/>
    </xf>
    <xf numFmtId="3" fontId="8" fillId="21" borderId="0" xfId="0" applyNumberFormat="1" applyFont="1" applyFill="1" applyAlignment="1" applyProtection="1">
      <alignment horizontal="right" vertical="center"/>
      <protection locked="0"/>
    </xf>
    <xf numFmtId="0" fontId="35" fillId="3" borderId="3" xfId="5" applyFont="1" applyFill="1" applyBorder="1" applyAlignment="1">
      <alignment horizontal="right" vertical="center"/>
    </xf>
    <xf numFmtId="0" fontId="52" fillId="3" borderId="3" xfId="5" applyFont="1" applyFill="1" applyBorder="1" applyAlignment="1">
      <alignment horizontal="right" vertical="center"/>
    </xf>
    <xf numFmtId="0" fontId="19" fillId="3" borderId="0" xfId="0" applyFont="1" applyFill="1"/>
    <xf numFmtId="0" fontId="6" fillId="3" borderId="0" xfId="0" applyFont="1" applyFill="1"/>
    <xf numFmtId="0" fontId="10" fillId="3" borderId="0" xfId="5" applyFont="1" applyFill="1" applyAlignment="1">
      <alignment horizontal="right"/>
    </xf>
    <xf numFmtId="37" fontId="56" fillId="3" borderId="0" xfId="4" applyNumberFormat="1" applyFont="1" applyFill="1" applyBorder="1" applyAlignment="1" applyProtection="1">
      <alignment horizontal="left" vertical="center"/>
    </xf>
    <xf numFmtId="0" fontId="56" fillId="3" borderId="0" xfId="4" applyFont="1" applyFill="1" applyAlignment="1" applyProtection="1">
      <alignment vertical="center"/>
    </xf>
    <xf numFmtId="2" fontId="5" fillId="3" borderId="0" xfId="0" applyNumberFormat="1" applyFont="1" applyFill="1" applyAlignment="1">
      <alignment horizontal="right" vertical="center"/>
    </xf>
    <xf numFmtId="2" fontId="5" fillId="3" borderId="0" xfId="0" applyNumberFormat="1" applyFont="1" applyFill="1" applyAlignment="1" applyProtection="1">
      <alignment horizontal="right" vertical="center"/>
      <protection locked="0"/>
    </xf>
    <xf numFmtId="0" fontId="76" fillId="3" borderId="0" xfId="5" applyFont="1" applyFill="1"/>
    <xf numFmtId="37" fontId="22" fillId="3" borderId="0" xfId="4" applyNumberFormat="1" applyFont="1" applyFill="1" applyBorder="1" applyAlignment="1" applyProtection="1">
      <alignment horizontal="left" vertical="center"/>
    </xf>
    <xf numFmtId="0" fontId="44" fillId="3" borderId="0" xfId="5" applyFont="1" applyFill="1" applyAlignment="1">
      <alignment horizontal="right"/>
    </xf>
    <xf numFmtId="0" fontId="22" fillId="3" borderId="0" xfId="4" applyFont="1" applyFill="1" applyAlignment="1" applyProtection="1">
      <alignment horizontal="left" vertical="center"/>
    </xf>
    <xf numFmtId="0" fontId="56" fillId="3" borderId="0" xfId="4" applyFont="1" applyFill="1" applyAlignment="1" applyProtection="1">
      <alignment horizontal="left" vertical="center"/>
    </xf>
    <xf numFmtId="0" fontId="89" fillId="3" borderId="0" xfId="7" applyFont="1" applyFill="1" applyAlignment="1">
      <alignment horizontal="right"/>
    </xf>
    <xf numFmtId="0" fontId="89" fillId="3" borderId="0" xfId="0" applyFont="1" applyFill="1"/>
    <xf numFmtId="0" fontId="89" fillId="3" borderId="0" xfId="7" applyFont="1" applyFill="1" applyAlignment="1">
      <alignment vertical="top"/>
    </xf>
    <xf numFmtId="0" fontId="44" fillId="3" borderId="0" xfId="0" applyFont="1" applyFill="1"/>
    <xf numFmtId="0" fontId="56" fillId="3" borderId="0" xfId="4" applyFont="1" applyFill="1" applyAlignment="1" applyProtection="1">
      <alignment horizontal="left" vertical="top"/>
    </xf>
    <xf numFmtId="0" fontId="44" fillId="3" borderId="0" xfId="7" applyFont="1" applyFill="1" applyAlignment="1">
      <alignment horizontal="right" vertical="top"/>
    </xf>
    <xf numFmtId="37" fontId="56" fillId="3" borderId="0" xfId="4" applyNumberFormat="1" applyFont="1" applyFill="1" applyAlignment="1" applyProtection="1">
      <alignment horizontal="right"/>
    </xf>
    <xf numFmtId="0" fontId="44" fillId="3" borderId="0" xfId="5" applyFont="1" applyFill="1" applyAlignment="1">
      <alignment horizontal="left" vertical="center"/>
    </xf>
    <xf numFmtId="0" fontId="92" fillId="3" borderId="0" xfId="4" applyFont="1" applyFill="1" applyAlignment="1" applyProtection="1">
      <alignment horizontal="left" vertical="center"/>
    </xf>
    <xf numFmtId="0" fontId="93" fillId="3" borderId="0" xfId="5" applyFont="1" applyFill="1"/>
    <xf numFmtId="0" fontId="72" fillId="6" borderId="0" xfId="5" applyFont="1" applyFill="1" applyAlignment="1">
      <alignment horizontal="center" vertical="center" wrapText="1"/>
    </xf>
    <xf numFmtId="37" fontId="11" fillId="3" borderId="0" xfId="0" applyNumberFormat="1" applyFont="1" applyFill="1" applyAlignment="1" applyProtection="1">
      <alignment horizontal="right" vertical="center"/>
      <protection locked="0"/>
    </xf>
    <xf numFmtId="0" fontId="93" fillId="3" borderId="0" xfId="5" applyFont="1" applyFill="1" applyAlignment="1">
      <alignment horizontal="right" vertical="center" wrapText="1"/>
    </xf>
    <xf numFmtId="0" fontId="93" fillId="3" borderId="0" xfId="5" applyFont="1" applyFill="1" applyAlignment="1">
      <alignment horizontal="right" vertical="center"/>
    </xf>
    <xf numFmtId="0" fontId="94" fillId="3" borderId="0" xfId="0" applyFont="1" applyFill="1" applyAlignment="1">
      <alignment horizontal="right" vertical="center"/>
    </xf>
    <xf numFmtId="0" fontId="95" fillId="3" borderId="0" xfId="0" applyFont="1" applyFill="1" applyAlignment="1">
      <alignment horizontal="right" vertical="center"/>
    </xf>
    <xf numFmtId="0" fontId="93" fillId="3" borderId="3" xfId="5" applyFont="1" applyFill="1" applyBorder="1" applyAlignment="1">
      <alignment horizontal="right" vertical="center"/>
    </xf>
    <xf numFmtId="0" fontId="96" fillId="20" borderId="0" xfId="5" applyFont="1" applyFill="1" applyAlignment="1">
      <alignment horizontal="right" vertical="center" wrapText="1"/>
    </xf>
    <xf numFmtId="0" fontId="97" fillId="3" borderId="0" xfId="5" applyFont="1" applyFill="1" applyAlignment="1">
      <alignment horizontal="right" vertical="center" wrapText="1"/>
    </xf>
    <xf numFmtId="0" fontId="98" fillId="3" borderId="0" xfId="5" applyFont="1" applyFill="1" applyAlignment="1">
      <alignment horizontal="right" vertical="center" wrapText="1"/>
    </xf>
    <xf numFmtId="0" fontId="98" fillId="3" borderId="0" xfId="5" applyFont="1" applyFill="1" applyAlignment="1">
      <alignment horizontal="right" vertical="center"/>
    </xf>
    <xf numFmtId="0" fontId="99" fillId="3" borderId="0" xfId="5" applyFont="1" applyFill="1" applyAlignment="1">
      <alignment horizontal="right" vertical="center"/>
    </xf>
    <xf numFmtId="37" fontId="8" fillId="3" borderId="0" xfId="0" applyNumberFormat="1" applyFont="1" applyFill="1" applyAlignment="1">
      <alignment horizontal="right" vertical="center"/>
    </xf>
    <xf numFmtId="0" fontId="74" fillId="3" borderId="0" xfId="5" applyFont="1" applyFill="1" applyAlignment="1">
      <alignment horizontal="right" vertical="center"/>
    </xf>
    <xf numFmtId="37" fontId="50" fillId="3" borderId="0" xfId="5" applyNumberFormat="1" applyFont="1" applyFill="1" applyAlignment="1">
      <alignment horizontal="right" vertical="center"/>
    </xf>
    <xf numFmtId="0" fontId="100" fillId="3" borderId="0" xfId="5" applyFont="1" applyFill="1" applyAlignment="1">
      <alignment horizontal="right" vertical="center" wrapText="1"/>
    </xf>
    <xf numFmtId="0" fontId="72" fillId="6" borderId="0" xfId="7" applyFont="1" applyFill="1" applyAlignment="1">
      <alignment horizontal="center" vertical="center" wrapText="1"/>
    </xf>
    <xf numFmtId="0" fontId="18" fillId="3" borderId="0" xfId="7" applyFont="1" applyFill="1" applyAlignment="1">
      <alignment horizontal="right" vertical="center"/>
    </xf>
    <xf numFmtId="49" fontId="18" fillId="3" borderId="0" xfId="7" applyNumberFormat="1" applyFont="1" applyFill="1" applyAlignment="1">
      <alignment horizontal="right" vertical="center"/>
    </xf>
    <xf numFmtId="0" fontId="43" fillId="3" borderId="3" xfId="0" applyFont="1" applyFill="1" applyBorder="1" applyAlignment="1">
      <alignment horizontal="right" vertical="center"/>
    </xf>
    <xf numFmtId="0" fontId="93" fillId="3" borderId="0" xfId="7" applyFont="1" applyFill="1" applyAlignment="1">
      <alignment horizontal="right" vertical="center"/>
    </xf>
    <xf numFmtId="49" fontId="93" fillId="3" borderId="0" xfId="7" applyNumberFormat="1" applyFont="1" applyFill="1" applyAlignment="1">
      <alignment horizontal="right" vertical="center"/>
    </xf>
    <xf numFmtId="0" fontId="97" fillId="3" borderId="0" xfId="7" applyFont="1" applyFill="1" applyAlignment="1">
      <alignment horizontal="right" vertical="center" wrapText="1"/>
    </xf>
    <xf numFmtId="49" fontId="97" fillId="3" borderId="0" xfId="7" applyNumberFormat="1" applyFont="1" applyFill="1" applyAlignment="1">
      <alignment horizontal="right" vertical="center" wrapText="1"/>
    </xf>
    <xf numFmtId="0" fontId="96" fillId="22" borderId="0" xfId="7" applyFont="1" applyFill="1" applyAlignment="1">
      <alignment horizontal="right" vertical="center" wrapText="1"/>
    </xf>
    <xf numFmtId="49" fontId="96" fillId="22" borderId="0" xfId="7" applyNumberFormat="1" applyFont="1" applyFill="1" applyAlignment="1">
      <alignment horizontal="right" vertical="center" wrapText="1"/>
    </xf>
    <xf numFmtId="37" fontId="11" fillId="3" borderId="0" xfId="0" applyNumberFormat="1" applyFont="1" applyFill="1" applyAlignment="1">
      <alignment horizontal="right" vertical="center" wrapText="1"/>
    </xf>
    <xf numFmtId="3" fontId="18" fillId="3" borderId="0" xfId="0" applyNumberFormat="1" applyFont="1" applyFill="1" applyAlignment="1">
      <alignment horizontal="right" vertical="center"/>
    </xf>
    <xf numFmtId="165" fontId="18" fillId="3" borderId="0" xfId="7" applyNumberFormat="1" applyFont="1" applyFill="1" applyAlignment="1">
      <alignment horizontal="right" vertical="center"/>
    </xf>
    <xf numFmtId="0" fontId="93" fillId="3" borderId="0" xfId="0" applyFont="1" applyFill="1" applyAlignment="1">
      <alignment horizontal="right" vertical="center"/>
    </xf>
    <xf numFmtId="0" fontId="101" fillId="3" borderId="0" xfId="0" applyFont="1" applyFill="1" applyAlignment="1">
      <alignment horizontal="right" vertical="center"/>
    </xf>
    <xf numFmtId="0" fontId="93" fillId="3" borderId="0" xfId="7" applyFont="1" applyFill="1" applyAlignment="1">
      <alignment horizontal="right" vertical="center" wrapText="1"/>
    </xf>
    <xf numFmtId="49" fontId="102" fillId="3" borderId="0" xfId="7" applyNumberFormat="1" applyFont="1" applyFill="1" applyAlignment="1">
      <alignment horizontal="right" vertical="center"/>
    </xf>
    <xf numFmtId="0" fontId="97" fillId="3" borderId="0" xfId="0" applyFont="1" applyFill="1" applyAlignment="1">
      <alignment horizontal="right" vertical="center"/>
    </xf>
    <xf numFmtId="0" fontId="103" fillId="3" borderId="0" xfId="0" applyFont="1" applyFill="1" applyAlignment="1">
      <alignment horizontal="right" vertical="center"/>
    </xf>
    <xf numFmtId="0" fontId="11" fillId="3" borderId="0" xfId="0" applyFont="1" applyFill="1" applyAlignment="1">
      <alignment horizontal="right" vertical="center"/>
    </xf>
    <xf numFmtId="37" fontId="11" fillId="3" borderId="0" xfId="0" applyNumberFormat="1" applyFont="1" applyFill="1" applyAlignment="1">
      <alignment horizontal="right" vertical="center"/>
    </xf>
    <xf numFmtId="0" fontId="18" fillId="3" borderId="0" xfId="0" applyFont="1" applyFill="1" applyAlignment="1">
      <alignment horizontal="right" vertical="center"/>
    </xf>
    <xf numFmtId="169" fontId="18" fillId="3" borderId="0" xfId="0" applyNumberFormat="1" applyFont="1" applyFill="1" applyAlignment="1">
      <alignment horizontal="right" vertical="center"/>
    </xf>
    <xf numFmtId="174" fontId="23" fillId="3" borderId="0" xfId="0" applyNumberFormat="1" applyFont="1" applyFill="1" applyAlignment="1">
      <alignment horizontal="right" vertical="center"/>
    </xf>
    <xf numFmtId="165" fontId="23" fillId="3" borderId="0" xfId="0" applyNumberFormat="1" applyFont="1" applyFill="1" applyAlignment="1">
      <alignment horizontal="right" vertical="center"/>
    </xf>
    <xf numFmtId="0" fontId="93" fillId="3" borderId="3" xfId="0" applyFont="1" applyFill="1" applyBorder="1" applyAlignment="1">
      <alignment horizontal="right" vertical="center"/>
    </xf>
    <xf numFmtId="49" fontId="93" fillId="3" borderId="3" xfId="0" applyNumberFormat="1" applyFont="1" applyFill="1" applyBorder="1" applyAlignment="1">
      <alignment horizontal="right" vertical="center"/>
    </xf>
    <xf numFmtId="167" fontId="18" fillId="3" borderId="0" xfId="5" applyNumberFormat="1" applyFont="1" applyFill="1" applyAlignment="1">
      <alignment horizontal="right" vertical="center"/>
    </xf>
    <xf numFmtId="0" fontId="18" fillId="3" borderId="0" xfId="5" applyFont="1" applyFill="1" applyAlignment="1">
      <alignment horizontal="right" vertical="center"/>
    </xf>
    <xf numFmtId="0" fontId="68" fillId="23" borderId="0" xfId="5" applyFont="1" applyFill="1" applyAlignment="1">
      <alignment horizontal="right" vertical="center" wrapText="1"/>
    </xf>
    <xf numFmtId="3" fontId="93" fillId="3" borderId="0" xfId="5" applyNumberFormat="1" applyFont="1" applyFill="1" applyAlignment="1">
      <alignment horizontal="right" vertical="center"/>
    </xf>
    <xf numFmtId="37" fontId="18" fillId="0" borderId="4" xfId="7" applyNumberFormat="1" applyFont="1" applyBorder="1" applyAlignment="1">
      <alignment horizontal="right" vertical="center"/>
    </xf>
    <xf numFmtId="37" fontId="18" fillId="3" borderId="4" xfId="7" applyNumberFormat="1" applyFont="1" applyFill="1" applyBorder="1" applyAlignment="1">
      <alignment horizontal="right" vertical="center"/>
    </xf>
    <xf numFmtId="0" fontId="24" fillId="0" borderId="4" xfId="7" applyFont="1" applyBorder="1" applyAlignment="1">
      <alignment horizontal="right" vertical="center"/>
    </xf>
    <xf numFmtId="0" fontId="68" fillId="14" borderId="0" xfId="5" applyFont="1" applyFill="1" applyAlignment="1">
      <alignment horizontal="right" vertical="center" wrapText="1"/>
    </xf>
    <xf numFmtId="0" fontId="45" fillId="3" borderId="3" xfId="0" applyFont="1" applyFill="1" applyBorder="1" applyAlignment="1">
      <alignment horizontal="right" vertical="center" wrapText="1"/>
    </xf>
    <xf numFmtId="0" fontId="45" fillId="3" borderId="3" xfId="0" applyFont="1" applyFill="1" applyBorder="1" applyAlignment="1">
      <alignment horizontal="right" vertical="center"/>
    </xf>
    <xf numFmtId="37" fontId="18" fillId="0" borderId="4" xfId="7" applyNumberFormat="1" applyFont="1" applyBorder="1" applyAlignment="1">
      <alignment horizontal="right" vertical="center" wrapText="1"/>
    </xf>
    <xf numFmtId="37" fontId="18" fillId="3" borderId="4" xfId="7" applyNumberFormat="1" applyFont="1" applyFill="1" applyBorder="1" applyAlignment="1">
      <alignment horizontal="right" vertical="center" wrapText="1"/>
    </xf>
    <xf numFmtId="0" fontId="24" fillId="0" borderId="4" xfId="7" applyFont="1" applyBorder="1" applyAlignment="1">
      <alignment horizontal="right" vertical="center" wrapText="1"/>
    </xf>
    <xf numFmtId="0" fontId="93" fillId="3" borderId="3" xfId="0" applyFont="1" applyFill="1" applyBorder="1" applyAlignment="1">
      <alignment horizontal="right" vertical="center" wrapText="1"/>
    </xf>
    <xf numFmtId="173" fontId="35" fillId="8" borderId="0" xfId="5" applyNumberFormat="1" applyFont="1" applyFill="1" applyAlignment="1">
      <alignment horizontal="right" vertical="center"/>
    </xf>
    <xf numFmtId="173" fontId="6" fillId="8" borderId="0" xfId="5" applyNumberFormat="1" applyFont="1" applyFill="1" applyAlignment="1">
      <alignment horizontal="right" vertical="center"/>
    </xf>
    <xf numFmtId="0" fontId="83" fillId="26" borderId="0" xfId="4" quotePrefix="1" applyNumberFormat="1" applyFont="1" applyFill="1" applyAlignment="1">
      <alignment horizontal="right" vertical="center"/>
    </xf>
    <xf numFmtId="166" fontId="5" fillId="3" borderId="0" xfId="0" applyNumberFormat="1" applyFont="1" applyFill="1" applyAlignment="1">
      <alignment horizontal="right" vertical="center"/>
    </xf>
    <xf numFmtId="37" fontId="6" fillId="3" borderId="0" xfId="0" applyNumberFormat="1" applyFont="1" applyFill="1" applyAlignment="1">
      <alignment horizontal="left" vertical="center" wrapText="1"/>
    </xf>
    <xf numFmtId="1" fontId="17" fillId="21" borderId="0" xfId="0" applyNumberFormat="1" applyFont="1" applyFill="1" applyAlignment="1" applyProtection="1">
      <alignment horizontal="right" vertical="center"/>
      <protection locked="0"/>
    </xf>
    <xf numFmtId="174" fontId="6" fillId="3" borderId="0" xfId="0" applyNumberFormat="1" applyFont="1" applyFill="1" applyAlignment="1" applyProtection="1">
      <alignment horizontal="right" vertical="center"/>
      <protection locked="0"/>
    </xf>
    <xf numFmtId="165" fontId="8" fillId="4" borderId="0" xfId="0" applyNumberFormat="1" applyFont="1" applyFill="1" applyAlignment="1" applyProtection="1">
      <alignment horizontal="right" vertical="center"/>
      <protection locked="0"/>
    </xf>
    <xf numFmtId="3" fontId="88" fillId="4" borderId="0" xfId="0" applyNumberFormat="1" applyFont="1" applyFill="1" applyAlignment="1">
      <alignment horizontal="right" vertical="center"/>
    </xf>
    <xf numFmtId="167" fontId="46" fillId="3" borderId="0" xfId="0" applyNumberFormat="1" applyFont="1" applyFill="1" applyAlignment="1">
      <alignment horizontal="right" vertical="center"/>
    </xf>
    <xf numFmtId="167" fontId="6" fillId="3" borderId="0" xfId="0" applyNumberFormat="1" applyFont="1" applyFill="1" applyAlignment="1" applyProtection="1">
      <alignment horizontal="right" vertical="center"/>
      <protection locked="0"/>
    </xf>
    <xf numFmtId="167" fontId="5" fillId="3" borderId="0" xfId="0" applyNumberFormat="1" applyFont="1" applyFill="1" applyAlignment="1" applyProtection="1">
      <alignment horizontal="right" vertical="center"/>
      <protection locked="0"/>
    </xf>
    <xf numFmtId="174" fontId="46" fillId="3" borderId="0" xfId="0" applyNumberFormat="1" applyFont="1" applyFill="1" applyAlignment="1">
      <alignment horizontal="right" vertical="center"/>
    </xf>
    <xf numFmtId="3" fontId="35" fillId="3" borderId="0" xfId="5" applyNumberFormat="1" applyFont="1" applyFill="1" applyAlignment="1">
      <alignment horizontal="right"/>
    </xf>
    <xf numFmtId="173" fontId="5" fillId="3" borderId="0" xfId="0" applyNumberFormat="1" applyFont="1" applyFill="1" applyAlignment="1">
      <alignment horizontal="right" vertical="center"/>
    </xf>
    <xf numFmtId="164" fontId="88" fillId="4" borderId="0" xfId="0" applyNumberFormat="1" applyFont="1" applyFill="1" applyAlignment="1">
      <alignment horizontal="right" vertical="center"/>
    </xf>
    <xf numFmtId="183" fontId="5" fillId="3" borderId="0" xfId="0" applyNumberFormat="1" applyFont="1" applyFill="1" applyAlignment="1">
      <alignment horizontal="right" vertical="center"/>
    </xf>
    <xf numFmtId="171" fontId="5" fillId="3" borderId="0" xfId="0" applyNumberFormat="1" applyFont="1" applyFill="1" applyAlignment="1">
      <alignment horizontal="right" vertical="center" wrapText="1"/>
    </xf>
    <xf numFmtId="3" fontId="47" fillId="4" borderId="0" xfId="0" applyNumberFormat="1" applyFont="1" applyFill="1" applyAlignment="1">
      <alignment horizontal="right" vertical="center"/>
    </xf>
    <xf numFmtId="165" fontId="5" fillId="3" borderId="0" xfId="0" applyNumberFormat="1" applyFont="1" applyFill="1" applyAlignment="1">
      <alignment vertical="center"/>
    </xf>
    <xf numFmtId="173" fontId="5" fillId="9" borderId="0" xfId="0" applyNumberFormat="1" applyFont="1" applyFill="1" applyAlignment="1">
      <alignment horizontal="right" vertical="center"/>
    </xf>
    <xf numFmtId="3" fontId="6" fillId="4" borderId="0" xfId="0" applyNumberFormat="1" applyFont="1" applyFill="1" applyAlignment="1">
      <alignment horizontal="left" vertical="center" indent="1"/>
    </xf>
    <xf numFmtId="3" fontId="36" fillId="5" borderId="0" xfId="0" applyNumberFormat="1" applyFont="1" applyFill="1" applyAlignment="1">
      <alignment horizontal="left" vertical="center"/>
    </xf>
    <xf numFmtId="165" fontId="35" fillId="4" borderId="0" xfId="0" applyNumberFormat="1" applyFont="1" applyFill="1" applyAlignment="1">
      <alignment horizontal="right" vertical="center"/>
    </xf>
    <xf numFmtId="175" fontId="5" fillId="3" borderId="0" xfId="1" applyNumberFormat="1" applyFont="1" applyFill="1" applyAlignment="1" applyProtection="1">
      <alignment horizontal="right" vertical="center" wrapText="1"/>
    </xf>
    <xf numFmtId="175" fontId="6" fillId="7" borderId="0" xfId="1" applyNumberFormat="1" applyFont="1" applyFill="1" applyAlignment="1" applyProtection="1">
      <alignment horizontal="right" vertical="center" wrapText="1"/>
    </xf>
    <xf numFmtId="0" fontId="6" fillId="3" borderId="0" xfId="0" applyFont="1" applyFill="1" applyAlignment="1">
      <alignment vertical="center"/>
    </xf>
    <xf numFmtId="0" fontId="7" fillId="3" borderId="0" xfId="0" applyFont="1" applyFill="1" applyAlignment="1">
      <alignment horizontal="left" vertical="center" wrapText="1"/>
    </xf>
    <xf numFmtId="3" fontId="5" fillId="0" borderId="0" xfId="0" applyNumberFormat="1" applyFont="1" applyAlignment="1" applyProtection="1">
      <alignment horizontal="right" vertical="center"/>
      <protection locked="0"/>
    </xf>
    <xf numFmtId="165" fontId="35" fillId="3" borderId="0" xfId="7" applyNumberFormat="1" applyFont="1" applyFill="1" applyAlignment="1">
      <alignment horizontal="right"/>
    </xf>
    <xf numFmtId="37" fontId="6" fillId="3" borderId="0" xfId="7" applyNumberFormat="1" applyFont="1" applyFill="1" applyAlignment="1">
      <alignment horizontal="left" vertical="center"/>
    </xf>
    <xf numFmtId="0" fontId="14" fillId="17" borderId="0" xfId="4" quotePrefix="1" applyFont="1" applyFill="1" applyAlignment="1" applyProtection="1">
      <alignment horizontal="left"/>
    </xf>
    <xf numFmtId="0" fontId="6" fillId="12" borderId="0" xfId="0" applyFont="1" applyFill="1" applyAlignment="1">
      <alignment horizontal="right" vertical="center"/>
    </xf>
    <xf numFmtId="0" fontId="104" fillId="14" borderId="0" xfId="5" applyFont="1" applyFill="1" applyAlignment="1">
      <alignment horizontal="right" vertical="center" wrapText="1"/>
    </xf>
    <xf numFmtId="164" fontId="6" fillId="3" borderId="0" xfId="0" applyNumberFormat="1" applyFont="1" applyFill="1" applyAlignment="1" applyProtection="1">
      <alignment horizontal="right" vertical="center"/>
      <protection locked="0"/>
    </xf>
    <xf numFmtId="175" fontId="6" fillId="3" borderId="0" xfId="1" applyNumberFormat="1" applyFont="1" applyFill="1" applyAlignment="1" applyProtection="1">
      <alignment horizontal="right" vertical="center" indent="1"/>
    </xf>
    <xf numFmtId="164" fontId="5" fillId="8" borderId="0" xfId="0" applyNumberFormat="1" applyFont="1" applyFill="1" applyAlignment="1">
      <alignment vertical="center" wrapText="1"/>
    </xf>
    <xf numFmtId="166" fontId="6" fillId="7" borderId="0" xfId="0" applyNumberFormat="1" applyFont="1" applyFill="1" applyAlignment="1">
      <alignment horizontal="right" vertical="center"/>
    </xf>
    <xf numFmtId="3" fontId="8" fillId="3" borderId="0" xfId="5" applyNumberFormat="1" applyFont="1" applyFill="1" applyAlignment="1">
      <alignment horizontal="right" vertical="center"/>
    </xf>
    <xf numFmtId="37" fontId="19" fillId="3" borderId="0" xfId="7" applyNumberFormat="1" applyFont="1" applyFill="1" applyAlignment="1">
      <alignment vertical="top"/>
    </xf>
    <xf numFmtId="37" fontId="6" fillId="3" borderId="0" xfId="7" applyNumberFormat="1" applyFont="1" applyFill="1" applyAlignment="1">
      <alignment horizontal="left" vertical="center" wrapText="1"/>
    </xf>
    <xf numFmtId="37" fontId="7" fillId="8" borderId="0" xfId="7" applyNumberFormat="1" applyFont="1" applyFill="1" applyAlignment="1">
      <alignment horizontal="left" vertical="center" wrapText="1"/>
    </xf>
    <xf numFmtId="174" fontId="6" fillId="3" borderId="0" xfId="7" applyNumberFormat="1" applyFont="1" applyFill="1" applyAlignment="1">
      <alignment horizontal="right" vertical="center"/>
    </xf>
    <xf numFmtId="174" fontId="6" fillId="4" borderId="0" xfId="7" applyNumberFormat="1" applyFont="1" applyFill="1" applyAlignment="1">
      <alignment horizontal="right" vertical="center"/>
    </xf>
    <xf numFmtId="0" fontId="43" fillId="4" borderId="0" xfId="7" applyFont="1" applyFill="1" applyAlignment="1">
      <alignment horizontal="left" vertical="center"/>
    </xf>
    <xf numFmtId="174" fontId="6" fillId="8" borderId="0" xfId="7" applyNumberFormat="1" applyFont="1" applyFill="1" applyAlignment="1">
      <alignment horizontal="right" vertical="center"/>
    </xf>
    <xf numFmtId="0" fontId="43" fillId="8" borderId="0" xfId="7" applyFont="1" applyFill="1" applyAlignment="1">
      <alignment horizontal="left" vertical="center"/>
    </xf>
    <xf numFmtId="0" fontId="36" fillId="5" borderId="0" xfId="7" applyFont="1" applyFill="1" applyAlignment="1">
      <alignment horizontal="right" vertical="center" wrapText="1"/>
    </xf>
    <xf numFmtId="0" fontId="36" fillId="5" borderId="0" xfId="7" applyFont="1" applyFill="1" applyAlignment="1">
      <alignment horizontal="left" vertical="center" wrapText="1"/>
    </xf>
    <xf numFmtId="0" fontId="35" fillId="3" borderId="0" xfId="7" applyFont="1" applyFill="1" applyAlignment="1">
      <alignment vertical="top"/>
    </xf>
    <xf numFmtId="165" fontId="7" fillId="3" borderId="0" xfId="7" applyNumberFormat="1" applyFont="1" applyFill="1" applyAlignment="1">
      <alignment horizontal="right" vertical="center"/>
    </xf>
    <xf numFmtId="0" fontId="68" fillId="3" borderId="0" xfId="7" applyFont="1" applyFill="1" applyAlignment="1">
      <alignment horizontal="left" vertical="center"/>
    </xf>
    <xf numFmtId="37" fontId="7" fillId="3" borderId="0" xfId="7" applyNumberFormat="1" applyFont="1" applyFill="1" applyAlignment="1">
      <alignment horizontal="left" vertical="center" wrapText="1"/>
    </xf>
    <xf numFmtId="176" fontId="6" fillId="3" borderId="0" xfId="7" applyNumberFormat="1" applyFont="1" applyFill="1" applyAlignment="1">
      <alignment horizontal="right" vertical="center"/>
    </xf>
    <xf numFmtId="0" fontId="35" fillId="3" borderId="0" xfId="5" applyFont="1" applyFill="1" applyAlignment="1">
      <alignment horizontal="left" vertical="center" wrapText="1"/>
    </xf>
    <xf numFmtId="167" fontId="36" fillId="5" borderId="0" xfId="7" applyNumberFormat="1" applyFont="1" applyFill="1" applyAlignment="1">
      <alignment horizontal="right" vertical="center" wrapText="1"/>
    </xf>
    <xf numFmtId="0" fontId="35" fillId="3" borderId="0" xfId="7" applyFont="1" applyFill="1" applyAlignment="1">
      <alignment vertical="center"/>
    </xf>
    <xf numFmtId="0" fontId="96" fillId="24" borderId="0" xfId="7" applyFont="1" applyFill="1" applyAlignment="1">
      <alignment horizontal="right" vertical="center" wrapText="1"/>
    </xf>
    <xf numFmtId="49" fontId="96" fillId="24" borderId="0" xfId="7" applyNumberFormat="1" applyFont="1" applyFill="1" applyAlignment="1">
      <alignment horizontal="right" vertical="center" wrapText="1"/>
    </xf>
    <xf numFmtId="0" fontId="39" fillId="24" borderId="0" xfId="7" applyFont="1" applyFill="1" applyAlignment="1">
      <alignment vertical="top" wrapText="1"/>
    </xf>
    <xf numFmtId="0" fontId="39" fillId="24" borderId="0" xfId="7" applyFont="1" applyFill="1" applyAlignment="1">
      <alignment horizontal="right" vertical="center" wrapText="1"/>
    </xf>
    <xf numFmtId="3" fontId="52" fillId="24" borderId="0" xfId="7" applyNumberFormat="1" applyFont="1" applyFill="1" applyAlignment="1">
      <alignment horizontal="right"/>
    </xf>
    <xf numFmtId="49" fontId="47" fillId="24" borderId="0" xfId="7" applyNumberFormat="1" applyFont="1" applyFill="1" applyAlignment="1">
      <alignment horizontal="right"/>
    </xf>
    <xf numFmtId="0" fontId="61" fillId="24" borderId="0" xfId="7" applyFont="1" applyFill="1" applyAlignment="1">
      <alignment horizontal="left" vertical="center"/>
    </xf>
    <xf numFmtId="0" fontId="80" fillId="3" borderId="0" xfId="7" applyFont="1" applyFill="1" applyAlignment="1">
      <alignment horizontal="right"/>
    </xf>
    <xf numFmtId="0" fontId="70" fillId="3" borderId="0" xfId="7" applyFont="1" applyFill="1" applyAlignment="1">
      <alignment vertical="center"/>
    </xf>
    <xf numFmtId="0" fontId="80" fillId="3" borderId="0" xfId="7" applyFont="1" applyFill="1" applyAlignment="1">
      <alignment horizontal="left" vertical="center"/>
    </xf>
    <xf numFmtId="0" fontId="91" fillId="12" borderId="0" xfId="7" applyFont="1" applyFill="1" applyAlignment="1">
      <alignment horizontal="left" vertical="center"/>
    </xf>
    <xf numFmtId="0" fontId="73" fillId="19" borderId="0" xfId="7" applyFont="1" applyFill="1" applyAlignment="1">
      <alignment horizontal="left" vertical="center"/>
    </xf>
    <xf numFmtId="0" fontId="47" fillId="3" borderId="0" xfId="0" applyFont="1" applyFill="1" applyAlignment="1">
      <alignment horizontal="center" vertical="center"/>
    </xf>
    <xf numFmtId="0" fontId="78" fillId="3" borderId="0" xfId="8" applyFont="1" applyFill="1"/>
    <xf numFmtId="0" fontId="43" fillId="3" borderId="0" xfId="7" applyFont="1" applyFill="1" applyAlignment="1">
      <alignment horizontal="right" vertical="center"/>
    </xf>
    <xf numFmtId="165" fontId="8" fillId="3" borderId="0" xfId="7" applyNumberFormat="1" applyFont="1" applyFill="1" applyAlignment="1">
      <alignment horizontal="right" vertical="center" wrapText="1"/>
    </xf>
    <xf numFmtId="37" fontId="7" fillId="8" borderId="0" xfId="0" applyNumberFormat="1" applyFont="1" applyFill="1" applyAlignment="1">
      <alignment horizontal="left" vertical="center" wrapText="1"/>
    </xf>
    <xf numFmtId="49" fontId="75" fillId="3" borderId="0" xfId="7" applyNumberFormat="1" applyFont="1" applyFill="1" applyAlignment="1">
      <alignment horizontal="right" vertical="center"/>
    </xf>
    <xf numFmtId="49" fontId="75" fillId="3" borderId="0" xfId="7" applyNumberFormat="1" applyFont="1" applyFill="1" applyAlignment="1">
      <alignment horizontal="right" vertical="center" wrapText="1"/>
    </xf>
    <xf numFmtId="0" fontId="36" fillId="5" borderId="0" xfId="5" applyFont="1" applyFill="1" applyAlignment="1">
      <alignment horizontal="right" vertical="center"/>
    </xf>
    <xf numFmtId="49" fontId="6" fillId="3" borderId="0" xfId="0" applyNumberFormat="1" applyFont="1" applyFill="1" applyAlignment="1" applyProtection="1">
      <alignment horizontal="right" vertical="center"/>
      <protection locked="0"/>
    </xf>
    <xf numFmtId="0" fontId="35" fillId="4" borderId="0" xfId="5" applyFont="1" applyFill="1" applyAlignment="1">
      <alignment horizontal="right" vertical="center"/>
    </xf>
    <xf numFmtId="0" fontId="6" fillId="4" borderId="0" xfId="5" applyFont="1" applyFill="1" applyAlignment="1">
      <alignment horizontal="right" vertical="center"/>
    </xf>
    <xf numFmtId="37" fontId="18" fillId="3" borderId="0" xfId="0" applyNumberFormat="1" applyFont="1" applyFill="1" applyAlignment="1">
      <alignment horizontal="left" vertical="center" indent="3"/>
    </xf>
    <xf numFmtId="0" fontId="35" fillId="3" borderId="0" xfId="5" applyFont="1" applyFill="1" applyAlignment="1">
      <alignment horizontal="left" wrapText="1" indent="2"/>
    </xf>
    <xf numFmtId="49" fontId="43" fillId="3" borderId="0" xfId="7" applyNumberFormat="1" applyFont="1" applyFill="1" applyAlignment="1">
      <alignment horizontal="right" vertical="center"/>
    </xf>
    <xf numFmtId="0" fontId="43" fillId="3" borderId="0" xfId="7" applyFont="1" applyFill="1" applyAlignment="1">
      <alignment horizontal="right" vertical="center" wrapText="1"/>
    </xf>
    <xf numFmtId="0" fontId="6" fillId="8" borderId="0" xfId="0" applyFont="1" applyFill="1" applyAlignment="1" applyProtection="1">
      <alignment horizontal="right" vertical="center"/>
      <protection locked="0"/>
    </xf>
    <xf numFmtId="49" fontId="6" fillId="8" borderId="0" xfId="0" applyNumberFormat="1" applyFont="1" applyFill="1" applyAlignment="1" applyProtection="1">
      <alignment horizontal="right" vertical="center"/>
      <protection locked="0"/>
    </xf>
    <xf numFmtId="1" fontId="6" fillId="8" borderId="0" xfId="0" applyNumberFormat="1" applyFont="1" applyFill="1" applyAlignment="1">
      <alignment horizontal="right" vertical="center"/>
    </xf>
    <xf numFmtId="0" fontId="7" fillId="8" borderId="0" xfId="0" applyFont="1" applyFill="1" applyAlignment="1">
      <alignment vertical="center" wrapText="1"/>
    </xf>
    <xf numFmtId="0" fontId="35" fillId="3" borderId="0" xfId="7" quotePrefix="1" applyFont="1" applyFill="1" applyAlignment="1">
      <alignment vertical="top"/>
    </xf>
    <xf numFmtId="165" fontId="6" fillId="0" borderId="0" xfId="7" applyNumberFormat="1" applyFont="1" applyAlignment="1">
      <alignment horizontal="right" vertical="center"/>
    </xf>
    <xf numFmtId="37" fontId="5" fillId="0" borderId="0" xfId="0" applyNumberFormat="1" applyFont="1" applyAlignment="1" applyProtection="1">
      <alignment horizontal="left" vertical="center" indent="2"/>
      <protection locked="0"/>
    </xf>
    <xf numFmtId="49" fontId="102" fillId="3" borderId="0" xfId="7" applyNumberFormat="1" applyFont="1" applyFill="1" applyAlignment="1">
      <alignment horizontal="right" vertical="center" wrapText="1"/>
    </xf>
    <xf numFmtId="0" fontId="68" fillId="25" borderId="0" xfId="5" applyFont="1" applyFill="1" applyAlignment="1">
      <alignment horizontal="right" vertical="center" wrapText="1"/>
    </xf>
    <xf numFmtId="0" fontId="39" fillId="25" borderId="0" xfId="7" applyFont="1" applyFill="1" applyAlignment="1">
      <alignment vertical="top" wrapText="1"/>
    </xf>
    <xf numFmtId="0" fontId="39" fillId="25" borderId="0" xfId="7" applyFont="1" applyFill="1" applyAlignment="1">
      <alignment horizontal="right" vertical="center" wrapText="1"/>
    </xf>
    <xf numFmtId="3" fontId="52" fillId="25" borderId="0" xfId="7" applyNumberFormat="1" applyFont="1" applyFill="1" applyAlignment="1">
      <alignment horizontal="right"/>
    </xf>
    <xf numFmtId="49" fontId="47" fillId="25" borderId="0" xfId="7" applyNumberFormat="1" applyFont="1" applyFill="1" applyAlignment="1">
      <alignment horizontal="right"/>
    </xf>
    <xf numFmtId="0" fontId="47" fillId="25" borderId="0" xfId="7" applyFont="1" applyFill="1" applyAlignment="1">
      <alignment horizontal="right"/>
    </xf>
    <xf numFmtId="0" fontId="61" fillId="25" borderId="0" xfId="7" applyFont="1" applyFill="1" applyAlignment="1">
      <alignment horizontal="left" vertical="center"/>
    </xf>
    <xf numFmtId="0" fontId="18" fillId="3" borderId="0" xfId="7" applyFont="1" applyFill="1" applyAlignment="1">
      <alignment horizontal="right" vertical="center" wrapText="1"/>
    </xf>
    <xf numFmtId="0" fontId="35" fillId="3" borderId="0" xfId="7" applyFont="1" applyFill="1" applyAlignment="1">
      <alignment wrapText="1"/>
    </xf>
    <xf numFmtId="0" fontId="90" fillId="3" borderId="0" xfId="7" applyFont="1" applyFill="1" applyAlignment="1">
      <alignment horizontal="right" vertical="center"/>
    </xf>
    <xf numFmtId="0" fontId="74" fillId="3" borderId="0" xfId="7" applyFont="1" applyFill="1" applyAlignment="1">
      <alignment horizontal="right" vertical="center" wrapText="1"/>
    </xf>
    <xf numFmtId="0" fontId="42" fillId="3" borderId="0" xfId="7" applyFont="1" applyFill="1" applyAlignment="1">
      <alignment horizontal="right"/>
    </xf>
    <xf numFmtId="0" fontId="74" fillId="3" borderId="0" xfId="7" applyFont="1" applyFill="1" applyAlignment="1">
      <alignment horizontal="right" vertical="center"/>
    </xf>
    <xf numFmtId="3" fontId="35" fillId="3" borderId="3" xfId="5" applyNumberFormat="1" applyFont="1" applyFill="1" applyBorder="1" applyAlignment="1">
      <alignment horizontal="right" vertical="center"/>
    </xf>
    <xf numFmtId="0" fontId="43" fillId="8" borderId="0" xfId="5" applyFont="1" applyFill="1" applyAlignment="1">
      <alignment horizontal="right" vertical="center"/>
    </xf>
    <xf numFmtId="37" fontId="6" fillId="3" borderId="0" xfId="5" quotePrefix="1" applyNumberFormat="1" applyFont="1" applyFill="1" applyAlignment="1">
      <alignment horizontal="left" vertical="center" wrapText="1"/>
    </xf>
    <xf numFmtId="37" fontId="7" fillId="8" borderId="0" xfId="5" quotePrefix="1" applyNumberFormat="1" applyFont="1" applyFill="1" applyAlignment="1">
      <alignment horizontal="left" vertical="center" wrapText="1"/>
    </xf>
    <xf numFmtId="167" fontId="35" fillId="3" borderId="0" xfId="5" applyNumberFormat="1" applyFont="1" applyFill="1" applyAlignment="1">
      <alignment horizontal="right" vertical="center"/>
    </xf>
    <xf numFmtId="2" fontId="35" fillId="3" borderId="0" xfId="5" applyNumberFormat="1" applyFont="1" applyFill="1" applyAlignment="1">
      <alignment horizontal="right" vertical="center"/>
    </xf>
    <xf numFmtId="0" fontId="8" fillId="0" borderId="0" xfId="7" applyFont="1" applyAlignment="1">
      <alignment horizontal="left" vertical="center"/>
    </xf>
    <xf numFmtId="49" fontId="42" fillId="3" borderId="0" xfId="7" applyNumberFormat="1" applyFont="1" applyFill="1" applyAlignment="1">
      <alignment horizontal="right" vertical="center"/>
    </xf>
    <xf numFmtId="0" fontId="44" fillId="3" borderId="0" xfId="7" applyFont="1" applyFill="1" applyAlignment="1">
      <alignment vertical="top" wrapText="1"/>
    </xf>
    <xf numFmtId="37" fontId="5" fillId="10" borderId="0" xfId="0" applyNumberFormat="1" applyFont="1" applyFill="1" applyAlignment="1">
      <alignment horizontal="left" vertical="center" indent="2"/>
    </xf>
    <xf numFmtId="181" fontId="35" fillId="4" borderId="0" xfId="5" applyNumberFormat="1" applyFont="1" applyFill="1" applyAlignment="1">
      <alignment horizontal="right" vertical="center"/>
    </xf>
    <xf numFmtId="167" fontId="35" fillId="4" borderId="0" xfId="5" applyNumberFormat="1" applyFont="1" applyFill="1" applyAlignment="1">
      <alignment horizontal="right" vertical="center"/>
    </xf>
    <xf numFmtId="0" fontId="43" fillId="4" borderId="0" xfId="5" applyFont="1" applyFill="1" applyAlignment="1">
      <alignment horizontal="left" vertical="center" wrapText="1"/>
    </xf>
    <xf numFmtId="181" fontId="5" fillId="8" borderId="0" xfId="0" applyNumberFormat="1" applyFont="1" applyFill="1" applyAlignment="1">
      <alignment horizontal="right" vertical="center"/>
    </xf>
    <xf numFmtId="173" fontId="6" fillId="8" borderId="0" xfId="0" applyNumberFormat="1" applyFont="1" applyFill="1" applyAlignment="1">
      <alignment horizontal="right" vertical="center"/>
    </xf>
    <xf numFmtId="174" fontId="46" fillId="8" borderId="0" xfId="0" applyNumberFormat="1" applyFont="1" applyFill="1" applyAlignment="1">
      <alignment horizontal="right" vertical="center"/>
    </xf>
    <xf numFmtId="166" fontId="6" fillId="3" borderId="0" xfId="0" applyNumberFormat="1" applyFont="1" applyFill="1" applyAlignment="1">
      <alignment horizontal="right" vertical="center"/>
    </xf>
    <xf numFmtId="168" fontId="6" fillId="3" borderId="0" xfId="0" applyNumberFormat="1" applyFont="1" applyFill="1" applyAlignment="1">
      <alignment horizontal="right" vertical="center"/>
    </xf>
    <xf numFmtId="37" fontId="8" fillId="0" borderId="0" xfId="5" applyNumberFormat="1" applyFont="1" applyAlignment="1">
      <alignment horizontal="right" vertical="center"/>
    </xf>
    <xf numFmtId="0" fontId="11" fillId="8" borderId="0" xfId="5" applyFont="1" applyFill="1" applyAlignment="1">
      <alignment horizontal="left" vertical="center"/>
    </xf>
    <xf numFmtId="37" fontId="4" fillId="8" borderId="0" xfId="5" applyNumberFormat="1" applyFont="1" applyFill="1" applyAlignment="1">
      <alignment horizontal="left" vertical="center" wrapText="1"/>
    </xf>
    <xf numFmtId="0" fontId="68" fillId="17" borderId="0" xfId="5" applyFont="1" applyFill="1" applyAlignment="1">
      <alignment horizontal="right" vertical="center" wrapText="1"/>
    </xf>
    <xf numFmtId="0" fontId="39" fillId="17" borderId="0" xfId="5" applyFont="1" applyFill="1" applyAlignment="1">
      <alignment horizontal="right" vertical="center" wrapText="1"/>
    </xf>
    <xf numFmtId="0" fontId="61" fillId="17" borderId="0" xfId="5" applyFont="1" applyFill="1" applyAlignment="1">
      <alignment horizontal="left" vertical="center"/>
    </xf>
    <xf numFmtId="0" fontId="44" fillId="3" borderId="0" xfId="5" applyFont="1" applyFill="1" applyAlignment="1">
      <alignment horizontal="right" vertical="center"/>
    </xf>
    <xf numFmtId="3" fontId="36" fillId="5" borderId="0" xfId="7" applyNumberFormat="1" applyFont="1" applyFill="1" applyAlignment="1">
      <alignment horizontal="right" vertical="center"/>
    </xf>
    <xf numFmtId="0" fontId="8" fillId="3" borderId="0" xfId="5" quotePrefix="1" applyFont="1" applyFill="1" applyAlignment="1">
      <alignment horizontal="right" vertical="center"/>
    </xf>
    <xf numFmtId="0" fontId="49" fillId="3" borderId="0" xfId="7" applyFont="1" applyFill="1" applyAlignment="1">
      <alignment horizontal="left" vertical="center"/>
    </xf>
    <xf numFmtId="169" fontId="6" fillId="3" borderId="0" xfId="5" applyNumberFormat="1" applyFont="1" applyFill="1" applyAlignment="1">
      <alignment horizontal="right" vertical="center"/>
    </xf>
    <xf numFmtId="1" fontId="35" fillId="3" borderId="0" xfId="5" applyNumberFormat="1" applyFont="1" applyFill="1" applyAlignment="1">
      <alignment horizontal="right" vertical="center"/>
    </xf>
    <xf numFmtId="0" fontId="60" fillId="3" borderId="0" xfId="5" applyFont="1" applyFill="1" applyAlignment="1">
      <alignment wrapText="1"/>
    </xf>
    <xf numFmtId="0" fontId="50" fillId="3" borderId="0" xfId="5" applyFont="1" applyFill="1" applyAlignment="1">
      <alignment horizontal="right" vertical="center"/>
    </xf>
    <xf numFmtId="169" fontId="35" fillId="3" borderId="0" xfId="5" applyNumberFormat="1" applyFont="1" applyFill="1" applyAlignment="1">
      <alignment horizontal="right" vertical="center"/>
    </xf>
    <xf numFmtId="0" fontId="6" fillId="0" borderId="0" xfId="5" applyFont="1" applyAlignment="1">
      <alignment horizontal="right" vertical="center"/>
    </xf>
    <xf numFmtId="170" fontId="35" fillId="3" borderId="0" xfId="5" applyNumberFormat="1" applyFont="1" applyFill="1" applyAlignment="1">
      <alignment horizontal="right" vertical="center"/>
    </xf>
    <xf numFmtId="3" fontId="37" fillId="3" borderId="0" xfId="5" applyNumberFormat="1" applyFont="1" applyFill="1" applyAlignment="1">
      <alignment wrapText="1"/>
    </xf>
    <xf numFmtId="165" fontId="6" fillId="7" borderId="0" xfId="0" applyNumberFormat="1" applyFont="1" applyFill="1" applyAlignment="1">
      <alignment horizontal="right" vertical="center"/>
    </xf>
    <xf numFmtId="0" fontId="35" fillId="3" borderId="0" xfId="5" applyFont="1" applyFill="1" applyAlignment="1">
      <alignment horizontal="left"/>
    </xf>
    <xf numFmtId="0" fontId="26" fillId="3" borderId="0" xfId="0" applyFont="1" applyFill="1" applyAlignment="1">
      <alignment horizontal="left" vertical="center"/>
    </xf>
    <xf numFmtId="2" fontId="6" fillId="7" borderId="0" xfId="5" applyNumberFormat="1" applyFont="1" applyFill="1" applyAlignment="1">
      <alignment horizontal="right" vertical="center"/>
    </xf>
    <xf numFmtId="9" fontId="94" fillId="3" borderId="0" xfId="6" applyFont="1" applyFill="1" applyAlignment="1">
      <alignment horizontal="right" vertical="center"/>
    </xf>
    <xf numFmtId="1" fontId="6" fillId="7" borderId="0" xfId="0" applyNumberFormat="1" applyFont="1" applyFill="1" applyAlignment="1" applyProtection="1">
      <alignment horizontal="right" vertical="center"/>
      <protection locked="0"/>
    </xf>
    <xf numFmtId="1" fontId="6" fillId="7" borderId="0" xfId="0" applyNumberFormat="1" applyFont="1" applyFill="1" applyAlignment="1">
      <alignment horizontal="right" vertical="center"/>
    </xf>
    <xf numFmtId="165" fontId="5" fillId="7" borderId="0" xfId="0" applyNumberFormat="1" applyFont="1" applyFill="1" applyAlignment="1">
      <alignment vertical="center"/>
    </xf>
    <xf numFmtId="167" fontId="5" fillId="7" borderId="0" xfId="0" applyNumberFormat="1" applyFont="1" applyFill="1" applyAlignment="1">
      <alignment horizontal="right" vertical="center"/>
    </xf>
    <xf numFmtId="3" fontId="6" fillId="13" borderId="0" xfId="0" applyNumberFormat="1" applyFont="1" applyFill="1" applyAlignment="1">
      <alignment horizontal="right" vertical="center"/>
    </xf>
    <xf numFmtId="174" fontId="6" fillId="7" borderId="0" xfId="7" applyNumberFormat="1" applyFont="1" applyFill="1" applyAlignment="1">
      <alignment horizontal="right" vertical="center"/>
    </xf>
    <xf numFmtId="0" fontId="35" fillId="3" borderId="3" xfId="7" applyFont="1" applyFill="1" applyBorder="1" applyAlignment="1">
      <alignment horizontal="left" vertical="center"/>
    </xf>
    <xf numFmtId="37" fontId="6" fillId="3" borderId="0" xfId="5" quotePrefix="1" applyNumberFormat="1" applyFont="1" applyFill="1" applyAlignment="1">
      <alignment horizontal="left" vertical="center" indent="2"/>
    </xf>
    <xf numFmtId="1" fontId="48" fillId="12" borderId="0" xfId="6" applyNumberFormat="1" applyFont="1" applyFill="1" applyAlignment="1">
      <alignment horizontal="right" vertical="center"/>
    </xf>
    <xf numFmtId="1" fontId="6" fillId="12" borderId="0" xfId="6" applyNumberFormat="1" applyFont="1" applyFill="1" applyAlignment="1">
      <alignment horizontal="right" vertical="center"/>
    </xf>
    <xf numFmtId="4" fontId="6" fillId="12" borderId="0" xfId="0" applyNumberFormat="1" applyFont="1" applyFill="1" applyAlignment="1">
      <alignment horizontal="right" vertical="center"/>
    </xf>
    <xf numFmtId="0" fontId="48" fillId="12" borderId="0" xfId="0" applyFont="1" applyFill="1" applyAlignment="1">
      <alignment horizontal="right" vertical="center"/>
    </xf>
    <xf numFmtId="37" fontId="42" fillId="3" borderId="0" xfId="5" quotePrefix="1" applyNumberFormat="1" applyFont="1" applyFill="1" applyAlignment="1">
      <alignment horizontal="left" vertical="center"/>
    </xf>
    <xf numFmtId="0" fontId="77" fillId="3" borderId="0" xfId="0" applyFont="1" applyFill="1"/>
    <xf numFmtId="0" fontId="76" fillId="3" borderId="0" xfId="0" applyFont="1" applyFill="1"/>
    <xf numFmtId="0" fontId="45" fillId="3" borderId="0" xfId="0" applyFont="1" applyFill="1" applyAlignment="1">
      <alignment horizontal="right" vertical="center" wrapText="1"/>
    </xf>
    <xf numFmtId="0" fontId="45" fillId="3" borderId="0" xfId="0" applyFont="1" applyFill="1" applyAlignment="1">
      <alignment horizontal="right" vertical="center"/>
    </xf>
    <xf numFmtId="37" fontId="3" fillId="3" borderId="3" xfId="7" applyNumberFormat="1" applyFont="1" applyFill="1" applyBorder="1" applyAlignment="1">
      <alignment vertical="center"/>
    </xf>
    <xf numFmtId="173" fontId="48" fillId="3" borderId="0" xfId="0" applyNumberFormat="1" applyFont="1" applyFill="1" applyAlignment="1">
      <alignment horizontal="right" vertical="center"/>
    </xf>
    <xf numFmtId="179" fontId="48" fillId="3" borderId="0" xfId="0" applyNumberFormat="1" applyFont="1" applyFill="1" applyAlignment="1">
      <alignment horizontal="right" vertical="center"/>
    </xf>
    <xf numFmtId="178" fontId="48" fillId="12" borderId="0" xfId="0" applyNumberFormat="1" applyFont="1" applyFill="1" applyAlignment="1">
      <alignment horizontal="right" vertical="center"/>
    </xf>
    <xf numFmtId="173" fontId="48" fillId="12" borderId="0" xfId="0" applyNumberFormat="1" applyFont="1" applyFill="1" applyAlignment="1">
      <alignment horizontal="right" vertical="center"/>
    </xf>
    <xf numFmtId="4" fontId="48" fillId="12" borderId="0" xfId="0" applyNumberFormat="1" applyFont="1" applyFill="1" applyAlignment="1">
      <alignment horizontal="right" vertical="center"/>
    </xf>
    <xf numFmtId="178" fontId="6" fillId="12" borderId="0" xfId="0" applyNumberFormat="1" applyFont="1" applyFill="1" applyAlignment="1">
      <alignment horizontal="right" vertical="center"/>
    </xf>
    <xf numFmtId="170" fontId="6" fillId="3" borderId="0" xfId="5" applyNumberFormat="1" applyFont="1" applyFill="1" applyAlignment="1">
      <alignment horizontal="right" vertical="center"/>
    </xf>
    <xf numFmtId="179" fontId="48" fillId="12" borderId="0" xfId="0" applyNumberFormat="1" applyFont="1" applyFill="1" applyAlignment="1">
      <alignment horizontal="right" vertical="center"/>
    </xf>
    <xf numFmtId="184" fontId="48" fillId="12" borderId="0" xfId="0" applyNumberFormat="1" applyFont="1" applyFill="1" applyAlignment="1">
      <alignment horizontal="right" vertical="center"/>
    </xf>
    <xf numFmtId="177" fontId="6" fillId="3" borderId="0" xfId="5" applyNumberFormat="1" applyFont="1" applyFill="1" applyAlignment="1">
      <alignment horizontal="right" vertical="center"/>
    </xf>
    <xf numFmtId="0" fontId="37" fillId="3" borderId="0" xfId="5" applyFont="1" applyFill="1"/>
    <xf numFmtId="0" fontId="36" fillId="3" borderId="0" xfId="5" applyFont="1" applyFill="1" applyAlignment="1">
      <alignment horizontal="left" vertical="center"/>
    </xf>
    <xf numFmtId="0" fontId="36" fillId="3" borderId="0" xfId="5" applyFont="1" applyFill="1" applyAlignment="1">
      <alignment horizontal="right" vertical="center"/>
    </xf>
    <xf numFmtId="0" fontId="18" fillId="3" borderId="0" xfId="0" applyFont="1" applyFill="1" applyAlignment="1">
      <alignment horizontal="left" vertical="center" indent="4"/>
    </xf>
    <xf numFmtId="0" fontId="56" fillId="3" borderId="0" xfId="4" applyFont="1" applyFill="1" applyAlignment="1" applyProtection="1">
      <alignment vertical="center" wrapText="1"/>
    </xf>
    <xf numFmtId="3" fontId="6" fillId="7" borderId="0" xfId="0" applyNumberFormat="1" applyFont="1" applyFill="1" applyAlignment="1">
      <alignment horizontal="right" vertical="center" wrapText="1"/>
    </xf>
    <xf numFmtId="185" fontId="6" fillId="3" borderId="0" xfId="6" applyNumberFormat="1" applyFont="1" applyFill="1" applyAlignment="1">
      <alignment horizontal="right" vertical="center"/>
    </xf>
    <xf numFmtId="9" fontId="6" fillId="3" borderId="0" xfId="6" applyFont="1" applyFill="1" applyAlignment="1" applyProtection="1">
      <alignment horizontal="right" vertical="center"/>
    </xf>
    <xf numFmtId="165" fontId="10" fillId="3" borderId="0" xfId="7" applyNumberFormat="1" applyFont="1" applyFill="1" applyAlignment="1">
      <alignment horizontal="right" vertical="center"/>
    </xf>
    <xf numFmtId="171" fontId="6" fillId="7" borderId="0" xfId="0" applyNumberFormat="1" applyFont="1" applyFill="1" applyAlignment="1">
      <alignment horizontal="right" vertical="center"/>
    </xf>
    <xf numFmtId="3" fontId="5" fillId="7" borderId="0" xfId="0" applyNumberFormat="1" applyFont="1" applyFill="1" applyAlignment="1">
      <alignment horizontal="right" vertical="center"/>
    </xf>
    <xf numFmtId="164" fontId="5" fillId="7" borderId="0" xfId="0" applyNumberFormat="1" applyFont="1" applyFill="1" applyAlignment="1">
      <alignment horizontal="right" vertical="center" wrapText="1"/>
    </xf>
    <xf numFmtId="2" fontId="5" fillId="7" borderId="0" xfId="0" applyNumberFormat="1" applyFont="1" applyFill="1" applyAlignment="1">
      <alignment horizontal="right" vertical="center"/>
    </xf>
    <xf numFmtId="164" fontId="6" fillId="3" borderId="0" xfId="5" applyNumberFormat="1" applyFont="1" applyFill="1" applyAlignment="1">
      <alignment horizontal="right" vertical="center"/>
    </xf>
    <xf numFmtId="2" fontId="46" fillId="7" borderId="0" xfId="0" applyNumberFormat="1" applyFont="1" applyFill="1" applyAlignment="1">
      <alignment horizontal="right" vertical="center"/>
    </xf>
    <xf numFmtId="0" fontId="7" fillId="3" borderId="0" xfId="5" applyFont="1" applyFill="1" applyAlignment="1">
      <alignment horizontal="left" vertical="center" wrapText="1"/>
    </xf>
    <xf numFmtId="0" fontId="68" fillId="3" borderId="0" xfId="5" applyFont="1" applyFill="1" applyAlignment="1">
      <alignment horizontal="left" vertical="center"/>
    </xf>
    <xf numFmtId="176" fontId="46" fillId="3" borderId="0" xfId="0" applyNumberFormat="1" applyFont="1" applyFill="1" applyAlignment="1">
      <alignment horizontal="right" vertical="center"/>
    </xf>
    <xf numFmtId="186" fontId="46" fillId="3" borderId="0" xfId="0" applyNumberFormat="1" applyFont="1" applyFill="1" applyAlignment="1">
      <alignment horizontal="right" vertical="center"/>
    </xf>
    <xf numFmtId="169" fontId="46" fillId="3" borderId="0" xfId="0" applyNumberFormat="1" applyFont="1" applyFill="1" applyAlignment="1">
      <alignment horizontal="right" vertical="center"/>
    </xf>
    <xf numFmtId="169" fontId="6" fillId="7" borderId="0" xfId="5" applyNumberFormat="1" applyFont="1" applyFill="1" applyAlignment="1">
      <alignment horizontal="right" vertical="center"/>
    </xf>
    <xf numFmtId="37" fontId="6" fillId="0" borderId="0" xfId="0" applyNumberFormat="1" applyFont="1" applyAlignment="1">
      <alignment horizontal="left" vertical="center" wrapText="1"/>
    </xf>
    <xf numFmtId="0" fontId="8" fillId="0" borderId="0" xfId="0" applyFont="1" applyAlignment="1">
      <alignment horizontal="left" vertical="center" wrapText="1"/>
    </xf>
    <xf numFmtId="164" fontId="5" fillId="0" borderId="0" xfId="0" applyNumberFormat="1" applyFont="1" applyAlignment="1" applyProtection="1">
      <alignment horizontal="right" vertical="center"/>
      <protection locked="0"/>
    </xf>
    <xf numFmtId="174" fontId="6" fillId="0" borderId="0" xfId="0" applyNumberFormat="1" applyFont="1" applyAlignment="1" applyProtection="1">
      <alignment horizontal="right" vertical="center"/>
      <protection locked="0"/>
    </xf>
    <xf numFmtId="0" fontId="35" fillId="3" borderId="0" xfId="7" applyFont="1" applyFill="1" applyAlignment="1">
      <alignment vertical="center" wrapText="1"/>
    </xf>
    <xf numFmtId="0" fontId="6" fillId="3" borderId="0" xfId="5" applyFont="1" applyFill="1" applyAlignment="1">
      <alignment horizontal="left" vertical="center" wrapText="1"/>
    </xf>
    <xf numFmtId="0" fontId="36" fillId="3" borderId="0" xfId="7" applyFont="1" applyFill="1" applyAlignment="1">
      <alignment horizontal="left" vertical="center" wrapText="1"/>
    </xf>
    <xf numFmtId="0" fontId="36" fillId="3" borderId="0" xfId="7" applyFont="1" applyFill="1" applyAlignment="1">
      <alignment horizontal="right" vertical="center" wrapText="1"/>
    </xf>
    <xf numFmtId="173" fontId="5" fillId="7" borderId="0" xfId="0" applyNumberFormat="1" applyFont="1" applyFill="1" applyAlignment="1">
      <alignment horizontal="right" vertical="center"/>
    </xf>
    <xf numFmtId="0" fontId="0" fillId="3" borderId="0" xfId="0" applyFill="1" applyAlignment="1">
      <alignment vertical="top" wrapText="1"/>
    </xf>
    <xf numFmtId="174" fontId="5" fillId="7" borderId="0" xfId="0" applyNumberFormat="1" applyFont="1" applyFill="1" applyAlignment="1" applyProtection="1">
      <alignment horizontal="right" vertical="center"/>
      <protection locked="0"/>
    </xf>
    <xf numFmtId="166" fontId="6" fillId="7" borderId="0" xfId="0" applyNumberFormat="1" applyFont="1" applyFill="1" applyAlignment="1" applyProtection="1">
      <alignment horizontal="right" vertical="center"/>
      <protection locked="0"/>
    </xf>
    <xf numFmtId="0" fontId="105" fillId="3" borderId="0" xfId="0" applyFont="1" applyFill="1" applyAlignment="1">
      <alignment vertical="top" wrapText="1"/>
    </xf>
    <xf numFmtId="0" fontId="106" fillId="3" borderId="0" xfId="5" applyFont="1" applyFill="1" applyAlignment="1">
      <alignment vertical="top"/>
    </xf>
    <xf numFmtId="165" fontId="6" fillId="7" borderId="0" xfId="7" applyNumberFormat="1" applyFont="1" applyFill="1" applyAlignment="1">
      <alignment horizontal="right" vertical="center" wrapText="1"/>
    </xf>
    <xf numFmtId="168" fontId="46" fillId="7" borderId="0" xfId="0" applyNumberFormat="1" applyFont="1" applyFill="1" applyAlignment="1">
      <alignment horizontal="right" vertical="center"/>
    </xf>
    <xf numFmtId="176" fontId="46" fillId="7" borderId="0" xfId="0" applyNumberFormat="1" applyFont="1" applyFill="1" applyAlignment="1">
      <alignment horizontal="right" vertical="center"/>
    </xf>
    <xf numFmtId="186" fontId="46" fillId="7" borderId="0" xfId="0" applyNumberFormat="1" applyFont="1" applyFill="1" applyAlignment="1">
      <alignment horizontal="right" vertical="center"/>
    </xf>
    <xf numFmtId="176" fontId="6" fillId="7" borderId="0" xfId="7" applyNumberFormat="1" applyFont="1" applyFill="1" applyAlignment="1">
      <alignment horizontal="right" vertical="center"/>
    </xf>
    <xf numFmtId="0" fontId="106" fillId="0" borderId="0" xfId="5" applyFont="1" applyAlignment="1">
      <alignment vertical="top" wrapText="1"/>
    </xf>
    <xf numFmtId="0" fontId="74" fillId="3" borderId="0" xfId="7" applyFont="1" applyFill="1" applyAlignment="1">
      <alignment horizontal="left" vertical="center"/>
    </xf>
    <xf numFmtId="37" fontId="3" fillId="3" borderId="3" xfId="7" applyNumberFormat="1" applyFont="1" applyFill="1" applyBorder="1" applyAlignment="1">
      <alignment horizontal="left" vertical="center"/>
    </xf>
    <xf numFmtId="0" fontId="74" fillId="3" borderId="0" xfId="5" applyFont="1" applyFill="1" applyAlignment="1">
      <alignment horizontal="left" vertical="center"/>
    </xf>
    <xf numFmtId="37" fontId="6" fillId="3" borderId="0" xfId="5" applyNumberFormat="1" applyFont="1" applyFill="1" applyAlignment="1">
      <alignment horizontal="left" vertical="center" wrapText="1" indent="4"/>
    </xf>
    <xf numFmtId="3" fontId="5" fillId="3" borderId="0" xfId="2" applyNumberFormat="1" applyFont="1" applyFill="1" applyAlignment="1" applyProtection="1">
      <alignment horizontal="right" vertical="center"/>
    </xf>
    <xf numFmtId="174" fontId="6" fillId="7" borderId="0" xfId="7" applyNumberFormat="1" applyFont="1" applyFill="1" applyAlignment="1">
      <alignment horizontal="right" vertical="center" wrapText="1"/>
    </xf>
    <xf numFmtId="49" fontId="46" fillId="3" borderId="0" xfId="5" applyNumberFormat="1" applyFont="1" applyFill="1" applyAlignment="1">
      <alignment horizontal="right" vertical="center"/>
    </xf>
    <xf numFmtId="2" fontId="6" fillId="12" borderId="0" xfId="0" applyNumberFormat="1" applyFont="1" applyFill="1" applyAlignment="1">
      <alignment horizontal="right" vertical="center"/>
    </xf>
    <xf numFmtId="4" fontId="48" fillId="3" borderId="0" xfId="0" applyNumberFormat="1" applyFont="1" applyFill="1" applyAlignment="1">
      <alignment horizontal="right" vertical="center"/>
    </xf>
    <xf numFmtId="2" fontId="6" fillId="3" borderId="0" xfId="5" applyNumberFormat="1" applyFont="1" applyFill="1" applyAlignment="1">
      <alignment horizontal="right" vertical="center"/>
    </xf>
    <xf numFmtId="174" fontId="6" fillId="7" borderId="0" xfId="0" applyNumberFormat="1" applyFont="1" applyFill="1" applyAlignment="1" applyProtection="1">
      <alignment horizontal="right" vertical="center"/>
      <protection locked="0"/>
    </xf>
    <xf numFmtId="0" fontId="108" fillId="0" borderId="0" xfId="0" applyFont="1" applyAlignment="1">
      <alignment horizontal="justify" vertical="center"/>
    </xf>
    <xf numFmtId="0" fontId="108" fillId="0" borderId="0" xfId="0" applyFont="1" applyAlignment="1">
      <alignment vertical="center"/>
    </xf>
    <xf numFmtId="0" fontId="107" fillId="0" borderId="0" xfId="0" applyFont="1"/>
    <xf numFmtId="0" fontId="107" fillId="0" borderId="0" xfId="0" applyFont="1" applyAlignment="1">
      <alignment horizontal="justify" vertical="center"/>
    </xf>
    <xf numFmtId="0" fontId="110" fillId="0" borderId="0" xfId="0" applyFont="1" applyAlignment="1">
      <alignment horizontal="justify" vertical="center"/>
    </xf>
    <xf numFmtId="0" fontId="35" fillId="0" borderId="0" xfId="7" applyFont="1" applyAlignment="1">
      <alignment horizontal="right"/>
    </xf>
    <xf numFmtId="0" fontId="35" fillId="3" borderId="0" xfId="7" applyFont="1" applyFill="1" applyAlignment="1">
      <alignment horizontal="right" wrapText="1"/>
    </xf>
    <xf numFmtId="0" fontId="109" fillId="0" borderId="0" xfId="0" applyFont="1" applyAlignment="1">
      <alignment vertical="center"/>
    </xf>
    <xf numFmtId="0" fontId="6" fillId="3" borderId="0" xfId="5" applyFont="1" applyFill="1" applyAlignment="1">
      <alignment horizontal="right" vertical="center" wrapText="1"/>
    </xf>
    <xf numFmtId="0" fontId="108" fillId="3" borderId="0" xfId="0" applyFont="1" applyFill="1"/>
    <xf numFmtId="0" fontId="108" fillId="3" borderId="0" xfId="0" applyFont="1" applyFill="1" applyAlignment="1">
      <alignment horizontal="justify" vertical="center"/>
    </xf>
    <xf numFmtId="0" fontId="35" fillId="0" borderId="0" xfId="5" applyFont="1" applyAlignment="1">
      <alignment horizontal="right" vertical="center"/>
    </xf>
    <xf numFmtId="0" fontId="108" fillId="0" borderId="0" xfId="0" applyFont="1"/>
    <xf numFmtId="0" fontId="35" fillId="0" borderId="0" xfId="5" applyFont="1" applyAlignment="1">
      <alignment horizontal="right"/>
    </xf>
    <xf numFmtId="49" fontId="41" fillId="0" borderId="0" xfId="5" applyNumberFormat="1" applyFont="1" applyAlignment="1">
      <alignment horizontal="right" vertical="center"/>
    </xf>
    <xf numFmtId="0" fontId="37" fillId="0" borderId="0" xfId="5" applyFont="1" applyAlignment="1">
      <alignment wrapText="1"/>
    </xf>
    <xf numFmtId="167" fontId="35" fillId="3" borderId="0" xfId="7" applyNumberFormat="1" applyFont="1" applyFill="1" applyAlignment="1">
      <alignment horizontal="right"/>
    </xf>
    <xf numFmtId="166" fontId="6" fillId="0" borderId="0" xfId="7" applyNumberFormat="1" applyFont="1" applyAlignment="1">
      <alignment horizontal="right" vertical="center"/>
    </xf>
    <xf numFmtId="0" fontId="108" fillId="3" borderId="0" xfId="0" applyFont="1" applyFill="1" applyAlignment="1">
      <alignment vertical="center"/>
    </xf>
    <xf numFmtId="3" fontId="35" fillId="3" borderId="0" xfId="7" applyNumberFormat="1" applyFont="1" applyFill="1" applyAlignment="1">
      <alignment horizontal="right"/>
    </xf>
    <xf numFmtId="0" fontId="107" fillId="3" borderId="0" xfId="0" applyFont="1" applyFill="1"/>
    <xf numFmtId="0" fontId="109" fillId="3" borderId="0" xfId="0" applyFont="1" applyFill="1" applyAlignment="1">
      <alignment vertical="center"/>
    </xf>
    <xf numFmtId="0" fontId="107" fillId="3" borderId="0" xfId="0" applyFont="1" applyFill="1" applyAlignment="1">
      <alignment horizontal="justify" vertical="center"/>
    </xf>
    <xf numFmtId="49" fontId="11" fillId="3" borderId="0" xfId="7" applyNumberFormat="1" applyFont="1" applyFill="1" applyAlignment="1">
      <alignment horizontal="right" vertical="center" wrapText="1"/>
    </xf>
    <xf numFmtId="173" fontId="6" fillId="7" borderId="0" xfId="0" applyNumberFormat="1" applyFont="1" applyFill="1" applyAlignment="1">
      <alignment horizontal="right" vertical="center"/>
    </xf>
    <xf numFmtId="167" fontId="6" fillId="7" borderId="0" xfId="0" applyNumberFormat="1" applyFont="1" applyFill="1" applyAlignment="1">
      <alignment horizontal="right" vertical="center"/>
    </xf>
    <xf numFmtId="164" fontId="6" fillId="7" borderId="0" xfId="0" applyNumberFormat="1" applyFont="1" applyFill="1" applyAlignment="1">
      <alignment horizontal="right" vertical="center"/>
    </xf>
    <xf numFmtId="168" fontId="6" fillId="7" borderId="0" xfId="0" applyNumberFormat="1" applyFont="1" applyFill="1" applyAlignment="1">
      <alignment horizontal="right" vertical="center"/>
    </xf>
    <xf numFmtId="174" fontId="6" fillId="7" borderId="0" xfId="0" applyNumberFormat="1" applyFont="1" applyFill="1" applyAlignment="1">
      <alignment horizontal="right" vertical="center"/>
    </xf>
    <xf numFmtId="175" fontId="6" fillId="7" borderId="0" xfId="1" applyNumberFormat="1" applyFont="1" applyFill="1" applyAlignment="1" applyProtection="1">
      <alignment horizontal="right" vertical="center"/>
    </xf>
    <xf numFmtId="38" fontId="5" fillId="7" borderId="0" xfId="0" applyNumberFormat="1" applyFont="1" applyFill="1" applyAlignment="1" applyProtection="1">
      <alignment horizontal="right" vertical="center"/>
      <protection locked="0"/>
    </xf>
    <xf numFmtId="0" fontId="6" fillId="13" borderId="0" xfId="0" applyFont="1" applyFill="1" applyAlignment="1">
      <alignment horizontal="right" vertical="center"/>
    </xf>
    <xf numFmtId="4" fontId="6" fillId="13" borderId="0" xfId="0" applyNumberFormat="1" applyFont="1" applyFill="1" applyAlignment="1">
      <alignment horizontal="right" vertical="center"/>
    </xf>
    <xf numFmtId="2" fontId="35" fillId="7" borderId="0" xfId="5" applyNumberFormat="1" applyFont="1" applyFill="1" applyAlignment="1">
      <alignment horizontal="right" vertical="center"/>
    </xf>
    <xf numFmtId="0" fontId="35" fillId="7" borderId="0" xfId="5" applyFont="1" applyFill="1" applyAlignment="1">
      <alignment horizontal="right" vertical="center"/>
    </xf>
    <xf numFmtId="187" fontId="48" fillId="7" borderId="0" xfId="1" applyNumberFormat="1" applyFont="1" applyFill="1" applyAlignment="1">
      <alignment horizontal="right" vertical="center"/>
    </xf>
    <xf numFmtId="0" fontId="48" fillId="13" borderId="0" xfId="0" applyFont="1" applyFill="1" applyAlignment="1">
      <alignment horizontal="right" vertical="center"/>
    </xf>
    <xf numFmtId="0" fontId="6" fillId="7" borderId="0" xfId="0" applyFont="1" applyFill="1" applyAlignment="1">
      <alignment horizontal="right" vertical="center"/>
    </xf>
    <xf numFmtId="3" fontId="48" fillId="7" borderId="0" xfId="0" applyNumberFormat="1" applyFont="1" applyFill="1" applyAlignment="1">
      <alignment horizontal="right" vertical="center"/>
    </xf>
    <xf numFmtId="4" fontId="48" fillId="7" borderId="0" xfId="0" applyNumberFormat="1" applyFont="1" applyFill="1" applyAlignment="1">
      <alignment horizontal="right" vertical="center"/>
    </xf>
    <xf numFmtId="173" fontId="48" fillId="7" borderId="0" xfId="0" applyNumberFormat="1" applyFont="1" applyFill="1" applyAlignment="1">
      <alignment horizontal="right" vertical="center"/>
    </xf>
    <xf numFmtId="170" fontId="35" fillId="7" borderId="0" xfId="5" applyNumberFormat="1" applyFont="1" applyFill="1" applyAlignment="1">
      <alignment horizontal="right" vertical="center"/>
    </xf>
    <xf numFmtId="0" fontId="6" fillId="7" borderId="0" xfId="0" applyFont="1" applyFill="1" applyAlignment="1" applyProtection="1">
      <alignment horizontal="right" vertical="center"/>
      <protection locked="0"/>
    </xf>
    <xf numFmtId="173" fontId="48" fillId="13" borderId="0" xfId="0" applyNumberFormat="1" applyFont="1" applyFill="1" applyAlignment="1">
      <alignment horizontal="right" vertical="center"/>
    </xf>
    <xf numFmtId="1" fontId="35" fillId="7" borderId="0" xfId="5" applyNumberFormat="1" applyFont="1" applyFill="1" applyAlignment="1">
      <alignment horizontal="right" vertical="center"/>
    </xf>
    <xf numFmtId="3" fontId="5" fillId="7" borderId="0" xfId="2" applyNumberFormat="1" applyFont="1" applyFill="1" applyAlignment="1" applyProtection="1">
      <alignment horizontal="right" vertical="center"/>
    </xf>
    <xf numFmtId="178" fontId="48" fillId="13" borderId="0" xfId="0" applyNumberFormat="1" applyFont="1" applyFill="1" applyAlignment="1">
      <alignment horizontal="right" vertical="center"/>
    </xf>
    <xf numFmtId="179" fontId="48" fillId="7" borderId="0" xfId="0" applyNumberFormat="1" applyFont="1" applyFill="1" applyAlignment="1">
      <alignment horizontal="right" vertical="center"/>
    </xf>
    <xf numFmtId="4" fontId="48" fillId="13" borderId="0" xfId="0" applyNumberFormat="1" applyFont="1" applyFill="1" applyAlignment="1">
      <alignment horizontal="right" vertical="center"/>
    </xf>
    <xf numFmtId="179" fontId="6" fillId="13" borderId="0" xfId="0" applyNumberFormat="1" applyFont="1" applyFill="1" applyAlignment="1">
      <alignment horizontal="right" vertical="center"/>
    </xf>
    <xf numFmtId="170" fontId="6" fillId="7" borderId="0" xfId="5" applyNumberFormat="1" applyFont="1" applyFill="1" applyAlignment="1">
      <alignment horizontal="right" vertical="center"/>
    </xf>
    <xf numFmtId="178" fontId="6" fillId="13" borderId="0" xfId="0" applyNumberFormat="1" applyFont="1" applyFill="1" applyAlignment="1">
      <alignment horizontal="right" vertical="center"/>
    </xf>
    <xf numFmtId="1" fontId="48" fillId="13" borderId="0" xfId="6" applyNumberFormat="1" applyFont="1" applyFill="1" applyAlignment="1">
      <alignment horizontal="right" vertical="center"/>
    </xf>
    <xf numFmtId="1" fontId="6" fillId="13" borderId="0" xfId="6" applyNumberFormat="1" applyFont="1" applyFill="1" applyAlignment="1">
      <alignment horizontal="right" vertical="center"/>
    </xf>
    <xf numFmtId="181" fontId="5" fillId="7" borderId="0" xfId="0" applyNumberFormat="1" applyFont="1" applyFill="1" applyAlignment="1" applyProtection="1">
      <alignment horizontal="right" vertical="center"/>
      <protection locked="0"/>
    </xf>
    <xf numFmtId="165" fontId="35" fillId="7" borderId="0" xfId="0" applyNumberFormat="1" applyFont="1" applyFill="1" applyAlignment="1">
      <alignment horizontal="right" vertical="center"/>
    </xf>
    <xf numFmtId="3" fontId="46" fillId="7" borderId="0" xfId="5" applyNumberFormat="1" applyFont="1" applyFill="1" applyAlignment="1">
      <alignment horizontal="right" vertical="center"/>
    </xf>
    <xf numFmtId="0" fontId="8" fillId="3" borderId="0" xfId="7" applyFont="1" applyFill="1" applyAlignment="1">
      <alignment horizontal="right" vertical="center" wrapText="1"/>
    </xf>
    <xf numFmtId="175" fontId="6" fillId="7" borderId="0" xfId="1" applyNumberFormat="1" applyFont="1" applyFill="1" applyAlignment="1">
      <alignment horizontal="right" vertical="center"/>
    </xf>
    <xf numFmtId="0" fontId="8" fillId="3" borderId="0" xfId="7" applyFont="1" applyFill="1" applyAlignment="1">
      <alignment horizontal="right" vertical="center" wrapText="1"/>
    </xf>
    <xf numFmtId="0" fontId="96" fillId="3" borderId="0" xfId="5" applyFont="1" applyFill="1" applyAlignment="1">
      <alignment horizontal="right" vertical="center" wrapText="1"/>
    </xf>
    <xf numFmtId="0" fontId="72" fillId="3" borderId="0" xfId="7" applyFont="1" applyFill="1" applyAlignment="1">
      <alignment horizontal="center" vertical="center" wrapText="1"/>
    </xf>
    <xf numFmtId="0" fontId="7" fillId="3" borderId="4" xfId="7" applyFont="1" applyFill="1" applyBorder="1" applyAlignment="1">
      <alignment horizontal="left" vertical="center"/>
    </xf>
    <xf numFmtId="0" fontId="7" fillId="3" borderId="0" xfId="7" applyFont="1" applyFill="1" applyAlignment="1">
      <alignment horizontal="left" vertical="center"/>
    </xf>
    <xf numFmtId="0" fontId="112" fillId="3" borderId="0" xfId="5" applyFont="1" applyFill="1" applyAlignment="1">
      <alignment horizontal="right" vertical="center"/>
    </xf>
    <xf numFmtId="0" fontId="113" fillId="3" borderId="0" xfId="5" applyFont="1" applyFill="1" applyAlignment="1">
      <alignment horizontal="right" vertical="center"/>
    </xf>
    <xf numFmtId="3" fontId="112" fillId="3" borderId="0" xfId="5" applyNumberFormat="1" applyFont="1" applyFill="1" applyAlignment="1">
      <alignment horizontal="right" vertical="center"/>
    </xf>
    <xf numFmtId="0" fontId="114" fillId="3" borderId="0" xfId="5" applyFont="1" applyFill="1" applyAlignment="1">
      <alignment horizontal="left" vertical="center"/>
    </xf>
    <xf numFmtId="0" fontId="115" fillId="3" borderId="0" xfId="5" applyFont="1" applyFill="1" applyAlignment="1">
      <alignment horizontal="right" vertical="center"/>
    </xf>
    <xf numFmtId="0" fontId="116" fillId="23" borderId="0" xfId="5" applyFont="1" applyFill="1" applyAlignment="1">
      <alignment horizontal="right" vertical="center" wrapText="1"/>
    </xf>
    <xf numFmtId="0" fontId="106" fillId="3" borderId="0" xfId="5" applyFont="1" applyFill="1"/>
    <xf numFmtId="0" fontId="112" fillId="3" borderId="3" xfId="5" applyFont="1" applyFill="1" applyBorder="1" applyAlignment="1">
      <alignment horizontal="right" vertical="center"/>
    </xf>
    <xf numFmtId="178" fontId="48" fillId="3" borderId="0" xfId="0" applyNumberFormat="1" applyFont="1" applyFill="1" applyAlignment="1">
      <alignment horizontal="right" vertical="center"/>
    </xf>
    <xf numFmtId="0" fontId="8" fillId="3" borderId="0" xfId="7" applyFont="1" applyFill="1" applyAlignment="1">
      <alignment horizontal="right" vertical="center" wrapText="1"/>
    </xf>
    <xf numFmtId="37" fontId="3" fillId="3" borderId="0" xfId="7" applyNumberFormat="1" applyFont="1" applyFill="1" applyAlignment="1">
      <alignment horizontal="left" vertical="center" wrapText="1"/>
    </xf>
    <xf numFmtId="37" fontId="3" fillId="3" borderId="0" xfId="7" applyNumberFormat="1" applyFont="1" applyFill="1" applyAlignment="1">
      <alignment horizontal="left" vertical="center"/>
    </xf>
    <xf numFmtId="0" fontId="56" fillId="3" borderId="0" xfId="4" applyFont="1" applyFill="1" applyAlignment="1" applyProtection="1">
      <alignment horizontal="left" vertical="center" wrapText="1"/>
    </xf>
  </cellXfs>
  <cellStyles count="19">
    <cellStyle name="Comma 2" xfId="2"/>
    <cellStyle name="Comma 3" xfId="12"/>
    <cellStyle name="fa_row_header_bold 2" xfId="3"/>
    <cellStyle name="Normal 2" xfId="5"/>
    <cellStyle name="Normal 2 2" xfId="11"/>
    <cellStyle name="Normal 3" xfId="10"/>
    <cellStyle name="Percent 2" xfId="14"/>
    <cellStyle name="Гиперссылка" xfId="4" builtinId="8"/>
    <cellStyle name="Обычный" xfId="0" builtinId="0"/>
    <cellStyle name="Обычный 2" xfId="7"/>
    <cellStyle name="Обычный 2 2" xfId="13"/>
    <cellStyle name="Обычный 2 3" xfId="15"/>
    <cellStyle name="Обычный 2 3 2" xfId="16"/>
    <cellStyle name="Обычный 2 3 3" xfId="17"/>
    <cellStyle name="Обычный 3" xfId="8"/>
    <cellStyle name="Обычный 3 2" xfId="18"/>
    <cellStyle name="Процентный" xfId="6" builtinId="5"/>
    <cellStyle name="Финансовый" xfId="1" builtinId="3"/>
    <cellStyle name="Финансовый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7" dropStyle="combo" dx="31" fmlaLink="$B$2" fmlaRange="$B$3:$B$4"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1</xdr:row>
          <xdr:rowOff>9525</xdr:rowOff>
        </xdr:from>
        <xdr:to>
          <xdr:col>2</xdr:col>
          <xdr:colOff>2085975</xdr:colOff>
          <xdr:row>2</xdr:row>
          <xdr:rowOff>9525</xdr:rowOff>
        </xdr:to>
        <xdr:sp macro="" textlink="">
          <xdr:nvSpPr>
            <xdr:cNvPr id="1531" name="Drop Down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6350</xdr:colOff>
      <xdr:row>4</xdr:row>
      <xdr:rowOff>25400</xdr:rowOff>
    </xdr:from>
    <xdr:to>
      <xdr:col>2</xdr:col>
      <xdr:colOff>5251450</xdr:colOff>
      <xdr:row>4</xdr:row>
      <xdr:rowOff>2419350</xdr:rowOff>
    </xdr:to>
    <xdr:pic>
      <xdr:nvPicPr>
        <xdr:cNvPr id="125976" name="Рисунок 1">
          <a:extLst>
            <a:ext uri="{FF2B5EF4-FFF2-40B4-BE49-F238E27FC236}">
              <a16:creationId xmlns:a16="http://schemas.microsoft.com/office/drawing/2014/main" id="{00000000-0008-0000-0000-000018E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762000"/>
          <a:ext cx="6477000" cy="227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0236" name="Рисунок 1">
          <a:extLst>
            <a:ext uri="{FF2B5EF4-FFF2-40B4-BE49-F238E27FC236}">
              <a16:creationId xmlns:a16="http://schemas.microsoft.com/office/drawing/2014/main" id="{00000000-0008-0000-0900-00008C87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31750</xdr:rowOff>
    </xdr:from>
    <xdr:to>
      <xdr:col>1</xdr:col>
      <xdr:colOff>3619500</xdr:colOff>
      <xdr:row>1</xdr:row>
      <xdr:rowOff>6350</xdr:rowOff>
    </xdr:to>
    <xdr:pic>
      <xdr:nvPicPr>
        <xdr:cNvPr id="127048" name="Рисунок 1">
          <a:extLst>
            <a:ext uri="{FF2B5EF4-FFF2-40B4-BE49-F238E27FC236}">
              <a16:creationId xmlns:a16="http://schemas.microsoft.com/office/drawing/2014/main" id="{00000000-0008-0000-0100-000048F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31750"/>
          <a:ext cx="3619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31750</xdr:rowOff>
    </xdr:from>
    <xdr:to>
      <xdr:col>1</xdr:col>
      <xdr:colOff>3619500</xdr:colOff>
      <xdr:row>1</xdr:row>
      <xdr:rowOff>6350</xdr:rowOff>
    </xdr:to>
    <xdr:pic>
      <xdr:nvPicPr>
        <xdr:cNvPr id="127049" name="Рисунок 1">
          <a:extLst>
            <a:ext uri="{FF2B5EF4-FFF2-40B4-BE49-F238E27FC236}">
              <a16:creationId xmlns:a16="http://schemas.microsoft.com/office/drawing/2014/main" id="{00000000-0008-0000-0100-000049F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31750"/>
          <a:ext cx="3619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31750</xdr:rowOff>
    </xdr:from>
    <xdr:to>
      <xdr:col>1</xdr:col>
      <xdr:colOff>3619500</xdr:colOff>
      <xdr:row>1</xdr:row>
      <xdr:rowOff>6350</xdr:rowOff>
    </xdr:to>
    <xdr:pic>
      <xdr:nvPicPr>
        <xdr:cNvPr id="127050" name="Рисунок 1">
          <a:extLst>
            <a:ext uri="{FF2B5EF4-FFF2-40B4-BE49-F238E27FC236}">
              <a16:creationId xmlns:a16="http://schemas.microsoft.com/office/drawing/2014/main" id="{00000000-0008-0000-0100-00004AF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850" y="31750"/>
          <a:ext cx="3619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3212" name="Рисунок 1">
          <a:extLst>
            <a:ext uri="{FF2B5EF4-FFF2-40B4-BE49-F238E27FC236}">
              <a16:creationId xmlns:a16="http://schemas.microsoft.com/office/drawing/2014/main" id="{00000000-0008-0000-0200-00002C93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4249" name="Рисунок 1">
          <a:extLst>
            <a:ext uri="{FF2B5EF4-FFF2-40B4-BE49-F238E27FC236}">
              <a16:creationId xmlns:a16="http://schemas.microsoft.com/office/drawing/2014/main" id="{00000000-0008-0000-0300-00003997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105259" name="Рисунок 1">
          <a:extLst>
            <a:ext uri="{FF2B5EF4-FFF2-40B4-BE49-F238E27FC236}">
              <a16:creationId xmlns:a16="http://schemas.microsoft.com/office/drawing/2014/main" id="{00000000-0008-0000-0400-00002B9B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600" y="0"/>
          <a:ext cx="3619500" cy="101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1</xdr:row>
      <xdr:rowOff>0</xdr:rowOff>
    </xdr:to>
    <xdr:pic>
      <xdr:nvPicPr>
        <xdr:cNvPr id="2" name="Рисунок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0"/>
          <a:ext cx="62230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3619500</xdr:colOff>
      <xdr:row>0</xdr:row>
      <xdr:rowOff>1022350</xdr:rowOff>
    </xdr:to>
    <xdr:pic>
      <xdr:nvPicPr>
        <xdr:cNvPr id="2" name="Рисунок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6350" y="0"/>
          <a:ext cx="36195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3613150</xdr:colOff>
      <xdr:row>1</xdr:row>
      <xdr:rowOff>0</xdr:rowOff>
    </xdr:to>
    <xdr:pic>
      <xdr:nvPicPr>
        <xdr:cNvPr id="2" name="Рисунок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0"/>
          <a:ext cx="914400" cy="22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3613150</xdr:colOff>
      <xdr:row>1</xdr:row>
      <xdr:rowOff>0</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0"/>
          <a:ext cx="361124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husnitdinova\Documents\&#1053;&#1054;&#1042;&#1040;&#1058;&#1069;&#1050;\NVTK_2025\ESG_Data_2024_R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limate"/>
      <sheetName val="Environment"/>
      <sheetName val="Personnel"/>
      <sheetName val="Occupational health and safety"/>
      <sheetName val="Local communities"/>
      <sheetName val="Corporate governance"/>
      <sheetName val="MED"/>
      <sheetName val="MED National goals"/>
      <sheetName val="Corporate documents"/>
    </sheetNames>
    <sheetDataSet>
      <sheetData sheetId="0">
        <row r="2">
          <cell r="B2">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novatek.ru"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novatek.ru/common/upload/Charter_30_09_2019.pdf" TargetMode="External"/><Relationship Id="rId18" Type="http://schemas.openxmlformats.org/officeDocument/2006/relationships/hyperlink" Target="https://www.novatek.ru/common/upload/%D0%9F%D0%BE%D0%BB%D0%BE%D0%B6%D0%B5%D0%BD%D0%B8%D0%B5%20%D0%BE%20%D0%9F%D1%80%D0%B0%D0%B2%D0%BB%D0%B5%D0%BD%D0%B8%D0%B8%20%D0%B8%20%D0%B8%D0%B7%D0%BC%202016.pdf" TargetMode="External"/><Relationship Id="rId26" Type="http://schemas.openxmlformats.org/officeDocument/2006/relationships/hyperlink" Target="https://www.novatek.ru/common/upload/%D0%9F%D0%BE%D0%BB%D0%B8%D1%82%D0%B8%D0%BA%D0%B0%20%D0%A3%D0%92%D0%90_%D1%81%20%D0%B8%D0%B7%D0%BC%D0%B5%D0%BD%D0%B5%D0%BD%D0%B8%D1%8F%D0%BC%D0%B8%202018.pdf" TargetMode="External"/><Relationship Id="rId39" Type="http://schemas.openxmlformats.org/officeDocument/2006/relationships/hyperlink" Target="https://www.novatek.ru/en/development/targets/" TargetMode="External"/><Relationship Id="rId21" Type="http://schemas.openxmlformats.org/officeDocument/2006/relationships/hyperlink" Target="https://www.novatek.ru/common/upload/%D0%9A%D0%BE%D0%BC%D0%B8%D1%82%D0%B5%D1%82%20%D0%BF%D0%BE%20%D0%B0%D1%83%D0%B4%D0%B8%D1%82%D1%83(4).pdf" TargetMode="External"/><Relationship Id="rId34" Type="http://schemas.openxmlformats.org/officeDocument/2006/relationships/hyperlink" Target="https://www.novatek.ru/common/upload/doc/Polozhenie_o_KorpSekr(en).pdf" TargetMode="External"/><Relationship Id="rId42" Type="http://schemas.openxmlformats.org/officeDocument/2006/relationships/hyperlink" Target="https://www.novatek.ru/common/upload/doc/80_94.pdf" TargetMode="External"/><Relationship Id="rId47" Type="http://schemas.openxmlformats.org/officeDocument/2006/relationships/hyperlink" Target="https://arcticspg.ru/ustoychivoe-razvitie/raskrytie-informatsii/GHG%20and%20EE%20Philosophy.pdf" TargetMode="External"/><Relationship Id="rId50" Type="http://schemas.openxmlformats.org/officeDocument/2006/relationships/hyperlink" Target="http://yamallng.ru/upload/Annex%201.%20Scoping%20Report%20ENG%20YLNG%20Issue%204.pdf" TargetMode="External"/><Relationship Id="rId55" Type="http://schemas.openxmlformats.org/officeDocument/2006/relationships/hyperlink" Target="https://arcticspg.ru/ustoychivoe-razvitie/raskrytie-informatsii/ESHIA%20Addendum%20-%20Project%20AOI.pdf" TargetMode="External"/><Relationship Id="rId63" Type="http://schemas.openxmlformats.org/officeDocument/2006/relationships/hyperlink" Target="https://www.novatek.ru/common/upload/doc/Politika_energoeffektivnosti_ENG.pdf" TargetMode="External"/><Relationship Id="rId68" Type="http://schemas.openxmlformats.org/officeDocument/2006/relationships/hyperlink" Target="https://www.novatek.ru/en/development/iso/" TargetMode="External"/><Relationship Id="rId76" Type="http://schemas.openxmlformats.org/officeDocument/2006/relationships/hyperlink" Target="https://www.novatek.ru/en/investors/reviews/" TargetMode="External"/><Relationship Id="rId7" Type="http://schemas.openxmlformats.org/officeDocument/2006/relationships/hyperlink" Target="https://www.novatek.ru/common/upload/doc/Antikoruptsionnaya_politika_PAO_NOVATEK.pdf?ysclid=luaukwvyiw242253423" TargetMode="External"/><Relationship Id="rId71" Type="http://schemas.openxmlformats.org/officeDocument/2006/relationships/hyperlink" Target="https://www.novatek.ru/common/upload/doc/Perechen_insayd_inform.pdf" TargetMode="External"/><Relationship Id="rId2" Type="http://schemas.openxmlformats.org/officeDocument/2006/relationships/hyperlink" Target="https://www.novatek.ru/en/development/archive/" TargetMode="External"/><Relationship Id="rId16" Type="http://schemas.openxmlformats.org/officeDocument/2006/relationships/hyperlink" Target="https://www.novatek.ru/common/upload/%D0%9F%D0%BE%D0%BB%D0%BE%D0%B6%D0%B5%D0%BD%D0%B8%D0%B5%20%D0%BE%20%D0%A1%D0%94%20%D1%81%20%D0%B8%D0%B7%D0%BC%202016_CLEAN(en).pdf" TargetMode="External"/><Relationship Id="rId29" Type="http://schemas.openxmlformats.org/officeDocument/2006/relationships/hyperlink" Target="https://www.novatek.ru/common/upload/%D0%9F%D0%BE%D0%BB%D0%BE%D0%B6%D0%B5%D0%BD%D0%B8%D0%B5_%D0%9A%D0%BE%D0%BC%D0%B8%D1%82%D0%B5%D1%82%20%D0%BF%D0%BE%20%D0%B0%D1%83%D0%B4%D0%B8%D1%82%D1%83_eng(5).pdf" TargetMode="External"/><Relationship Id="rId11" Type="http://schemas.openxmlformats.org/officeDocument/2006/relationships/hyperlink" Target="https://www.novatek.ru/common/upload/doc/Politika_po_pravam_cheloveka_PAO_NOVATEK%5b1%5d.pdf" TargetMode="External"/><Relationship Id="rId24" Type="http://schemas.openxmlformats.org/officeDocument/2006/relationships/hyperlink" Target="https://www.novatek.ru/common/upload/%D0%9A%D0%BE%D0%BC%D0%B8%D1%82%D0%B5%D1%82%20%D0%BF%D0%BE%20%D1%81%D1%82%D1%80%D0%B0%D1%82%D0%B5%D0%B3%D0%B8%D0%B8(4).pdf" TargetMode="External"/><Relationship Id="rId32" Type="http://schemas.openxmlformats.org/officeDocument/2006/relationships/hyperlink" Target="https://www.novatek.ru/common/upload/doc/DivEng20.pdf" TargetMode="External"/><Relationship Id="rId37" Type="http://schemas.openxmlformats.org/officeDocument/2006/relationships/hyperlink" Target="https://www.novatek.ru/common/upload/doc/POLOZHENIE_o_voznagrazhdenii_SD_ENG.pdf" TargetMode="External"/><Relationship Id="rId40" Type="http://schemas.openxmlformats.org/officeDocument/2006/relationships/hyperlink" Target="https://www.novatek.ru/common/upload/doc/Politika_v_oblasti_Zakupok.pdf" TargetMode="External"/><Relationship Id="rId45" Type="http://schemas.openxmlformats.org/officeDocument/2006/relationships/hyperlink" Target="https://www.novatek.ru/common/upload/doc/REGULATION_OF_ACCESS_TO_INSIDER_INFORMATION.pdf" TargetMode="External"/><Relationship Id="rId53" Type="http://schemas.openxmlformats.org/officeDocument/2006/relationships/hyperlink" Target="http://yamallng.ru/upload/ESIA%20RUS%20.pdf" TargetMode="External"/><Relationship Id="rId58" Type="http://schemas.openxmlformats.org/officeDocument/2006/relationships/hyperlink" Target="http://yamallng.ru/upload/docs/Yamal%20LNG_SEP_June_2023_Eng.pdf" TargetMode="External"/><Relationship Id="rId66" Type="http://schemas.openxmlformats.org/officeDocument/2006/relationships/hyperlink" Target="https://arcticspg.ru/ustoychivoe-razvitie/raskrytie-informatsii/" TargetMode="External"/><Relationship Id="rId74" Type="http://schemas.openxmlformats.org/officeDocument/2006/relationships/hyperlink" Target="https://www.novatek.ru/ru/development/iso/" TargetMode="External"/><Relationship Id="rId79" Type="http://schemas.openxmlformats.org/officeDocument/2006/relationships/hyperlink" Target="https://www.novatek.ru/ru/esg/ratings/" TargetMode="External"/><Relationship Id="rId5" Type="http://schemas.openxmlformats.org/officeDocument/2006/relationships/hyperlink" Target="https://www.novatek.ru/common/upload/doc/KODEKS_delovoy_etiki_20.12.2024_ENG.pdf" TargetMode="External"/><Relationship Id="rId61" Type="http://schemas.openxmlformats.org/officeDocument/2006/relationships/hyperlink" Target="https://arcticspg.ru/ustoychivoe-razvitie/raskrytie-informatsii/SEP_RUS_2021.pdf" TargetMode="External"/><Relationship Id="rId82" Type="http://schemas.openxmlformats.org/officeDocument/2006/relationships/printerSettings" Target="../printerSettings/printerSettings10.bin"/><Relationship Id="rId10" Type="http://schemas.openxmlformats.org/officeDocument/2006/relationships/hyperlink" Target="https://www.novatek.ru/common/upload/doc/NOVATEK_Human_Rights_Policy%5b1%5d.pdf" TargetMode="External"/><Relationship Id="rId19" Type="http://schemas.openxmlformats.org/officeDocument/2006/relationships/hyperlink" Target="https://www.novatek.ru/common/upload/%D0%9F%D0%BE%D0%BB%D0%BE%D0%B6%D0%B5%D0%BD%D0%B8%D0%B5%20%D0%BE%20%D0%A1%D0%94%20%D1%81%20%D0%B8%D0%B7%D0%BC%202016.pdf" TargetMode="External"/><Relationship Id="rId31" Type="http://schemas.openxmlformats.org/officeDocument/2006/relationships/hyperlink" Target="https://www.novatek.ru/common/upload/%D0%9F%D0%BE%D0%BB%D0%BE%D0%B6%D0%B5%D0%BD%D0%B8%D0%B5_%D0%9A%D0%BE%D0%BC%D0%B8%D1%82%D0%B5%D1%82%20%D0%BF%D0%BE%20%D1%81%D1%82%D1%80%D0%B0%D1%82%D0%B5%D0%B3%D0%B8%D0%B8_eng(4).pdf" TargetMode="External"/><Relationship Id="rId44" Type="http://schemas.openxmlformats.org/officeDocument/2006/relationships/hyperlink" Target="https://www.novatek.ru/common/upload/doc/Polozhenie_o_poryadke_dostupa_k_insayd_inform%5b1%5d%5b1%5d.pdf" TargetMode="External"/><Relationship Id="rId52" Type="http://schemas.openxmlformats.org/officeDocument/2006/relationships/hyperlink" Target="http://yamallng.ru/upload/Annex%202.%20RUS%20PDF%20Environmental%20and%20Social%20Standards%20Issue%2011_clean%20checked%2023012015.pdf" TargetMode="External"/><Relationship Id="rId60" Type="http://schemas.openxmlformats.org/officeDocument/2006/relationships/hyperlink" Target="https://www.novatek.ru/common/upload/doc/Politika_OT_PPB_i_OOS_en.pdf" TargetMode="External"/><Relationship Id="rId65" Type="http://schemas.openxmlformats.org/officeDocument/2006/relationships/hyperlink" Target="https://www.novatek.ru/en/development/targets/" TargetMode="External"/><Relationship Id="rId73" Type="http://schemas.openxmlformats.org/officeDocument/2006/relationships/hyperlink" Target="https://www.novatek.ru/common/upload/doc/Politika_OT_PPB_i_OOS_en.pdf" TargetMode="External"/><Relationship Id="rId78" Type="http://schemas.openxmlformats.org/officeDocument/2006/relationships/hyperlink" Target="https://www.novatek.ru/en/investors/reviews/archive/" TargetMode="External"/><Relationship Id="rId81" Type="http://schemas.openxmlformats.org/officeDocument/2006/relationships/hyperlink" Target="https://www.novatek.ru/ru/investors/reviews/archive/" TargetMode="External"/><Relationship Id="rId4" Type="http://schemas.openxmlformats.org/officeDocument/2006/relationships/hyperlink" Target="https://www.novatek.ru/common/upload/doc/KODEKS_delovoy_etiki_20.12.2024.pdf" TargetMode="External"/><Relationship Id="rId9" Type="http://schemas.openxmlformats.org/officeDocument/2006/relationships/hyperlink" Target="https://www.novatek.ru/common/upload/doc/Supplier_Code_of_Conduct_for_Novatek.pdf" TargetMode="External"/><Relationship Id="rId14" Type="http://schemas.openxmlformats.org/officeDocument/2006/relationships/hyperlink" Target="https://www.novatek.ru/common/upload/%D0%9F%D0%BE%D0%BB%D0%BE%D0%B6%D0%B5%D0%BD%D0%B8%D0%B5%20%D0%BE%D0%B1%20%D0%9E%D0%A1%D0%90%20%D1%81%20%D0%B8%D0%B7%D0%BC%202016%20%D0%B3_.pdf" TargetMode="External"/><Relationship Id="rId22" Type="http://schemas.openxmlformats.org/officeDocument/2006/relationships/hyperlink" Target="https://www.novatek.ru/common/upload/7_1_Regulations%20on%20inform%20policy_RUS.pdf" TargetMode="External"/><Relationship Id="rId27" Type="http://schemas.openxmlformats.org/officeDocument/2006/relationships/hyperlink" Target="https://www.novatek.ru/common/upload/doc/SUR_ru.pdf" TargetMode="External"/><Relationship Id="rId30" Type="http://schemas.openxmlformats.org/officeDocument/2006/relationships/hyperlink" Target="https://www.novatek.ru/common/upload/%D0%9F%D0%BE%D0%BB%D0%BE%D0%B6%D0%B5%D0%BD%D0%B8%D0%B5%20%D0%BE%20%D0%9A%D0%BE%D0%BC%D0%B8%D1%82%D0%B5%D1%82%D0%B5%20%D0%BF%D0%BE%20%D0%B2%D0%BE%D0%B7%D0%BD%20%D0%B8%20%D0%BD%D0%BE%D0%BC%D0%B8%D0%BD%D0%B0%D1%86%D0%B8%D1%8F%D0%BC(en)_23_08_2019(1).pdf" TargetMode="External"/><Relationship Id="rId35" Type="http://schemas.openxmlformats.org/officeDocument/2006/relationships/hyperlink" Target="https://www.novatek.ru/common/upload/doc/Politika_v_oblasti_vnutrennego_audita_PAO_Novatek_Red._2_ENG.pdf" TargetMode="External"/><Relationship Id="rId43" Type="http://schemas.openxmlformats.org/officeDocument/2006/relationships/hyperlink" Target="https://www.novatek.ru/common/upload/doc/Regulation_revision_comm.pdf" TargetMode="External"/><Relationship Id="rId48" Type="http://schemas.openxmlformats.org/officeDocument/2006/relationships/hyperlink" Target="https://arcticspg.ru/ustoychivoe-razvitie/raskrytie-informatsii/GHG%20and%20EE%20Management%20Plan.pdf" TargetMode="External"/><Relationship Id="rId56" Type="http://schemas.openxmlformats.org/officeDocument/2006/relationships/hyperlink" Target="https://arcticspg.ru/ustoychivoe-razvitie/raskrytie-informatsii/" TargetMode="External"/><Relationship Id="rId64" Type="http://schemas.openxmlformats.org/officeDocument/2006/relationships/hyperlink" Target="https://www.novatek.ru/ru/development/targets/" TargetMode="External"/><Relationship Id="rId69" Type="http://schemas.openxmlformats.org/officeDocument/2006/relationships/hyperlink" Target="https://www.novatek.ru/common/upload/doc/Perechen_insayd_inform.pdf" TargetMode="External"/><Relationship Id="rId77" Type="http://schemas.openxmlformats.org/officeDocument/2006/relationships/hyperlink" Target="https://www.novatek.ru/en/esg/ratings/archive/" TargetMode="External"/><Relationship Id="rId8" Type="http://schemas.openxmlformats.org/officeDocument/2006/relationships/hyperlink" Target="https://www.novatek.ru/common/upload/doc/Kodeks_povedeniya_Postavshchika_Gruppy_kompanii_PAO_NOVATEK.pdf" TargetMode="External"/><Relationship Id="rId51" Type="http://schemas.openxmlformats.org/officeDocument/2006/relationships/hyperlink" Target="http://yamallng.ru/Annex%202.%20ENG%20PDF%20Environmental%20and%20Social%20Standards%20Final%20Issue%2011%20Clean.pdf" TargetMode="External"/><Relationship Id="rId72" Type="http://schemas.openxmlformats.org/officeDocument/2006/relationships/hyperlink" Target="https://www.novatek.ru/common/upload/doc/Politika_OT_PPB_i_OOS_rus.pdf" TargetMode="External"/><Relationship Id="rId80" Type="http://schemas.openxmlformats.org/officeDocument/2006/relationships/hyperlink" Target="https://www.novatek.ru/ru/investors/reviews/" TargetMode="External"/><Relationship Id="rId3" Type="http://schemas.openxmlformats.org/officeDocument/2006/relationships/hyperlink" Target="https://www.novatek.ru/ru/development/archive/" TargetMode="External"/><Relationship Id="rId12" Type="http://schemas.openxmlformats.org/officeDocument/2006/relationships/hyperlink" Target="https://www.novatek.ru/common/upload/%D0%A3%D1%81%D1%82%D0%B0%D0%B2%20%20%D0%9D%D0%9E%D0%92%D0%90%D0%A2%D0%AD%D0%9A%20%D0%BE%D1%82%2010_06_05%20%D1%81%20%D0%B8%D0%B7%D0%BC%20%D0%B8%20%D0%B4%D0%BE%D0%BF%202005-2019_CLEAN.pdf" TargetMode="External"/><Relationship Id="rId17" Type="http://schemas.openxmlformats.org/officeDocument/2006/relationships/hyperlink" Target="https://www.novatek.ru/common/upload/%D0%9F%D0%BE%D0%BB%D0%BE%D0%B6%D0%B5%D0%BD%D0%B8%D0%B5%20%D0%BE%20%D0%9F%D1%80%D0%B0%D0%B2%D0%BB%D0%B5%D0%BD%D0%B8%D0%B5%20%D1%81%20%D0%B8%D0%B7%D0%BC%202016_CLEAN(en).pdf" TargetMode="External"/><Relationship Id="rId25" Type="http://schemas.openxmlformats.org/officeDocument/2006/relationships/hyperlink" Target="https://www.novatek.ru/common/upload/doc/Polozhenie_o_KorpSekr.pdf" TargetMode="External"/><Relationship Id="rId33" Type="http://schemas.openxmlformats.org/officeDocument/2006/relationships/hyperlink" Target="https://www.novatek.ru/common/upload/7_1_Regulations%20on%20inform%20policy.pdf" TargetMode="External"/><Relationship Id="rId38" Type="http://schemas.openxmlformats.org/officeDocument/2006/relationships/hyperlink" Target="https://www.novatek.ru/ru/development/targets/" TargetMode="External"/><Relationship Id="rId46" Type="http://schemas.openxmlformats.org/officeDocument/2006/relationships/hyperlink" Target="https://arcticspg.ru/ustoychivoe-razvitie/raskrytie-informatsii/Biodiversity_Implementation_Strategy.pdf" TargetMode="External"/><Relationship Id="rId59" Type="http://schemas.openxmlformats.org/officeDocument/2006/relationships/hyperlink" Target="https://www.novatek.ru/common/upload/doc/Politika_OT_PPB_i_OOS_rus.pdf" TargetMode="External"/><Relationship Id="rId67" Type="http://schemas.openxmlformats.org/officeDocument/2006/relationships/hyperlink" Target="https://www.novatek.ru/ru/development/iso/" TargetMode="External"/><Relationship Id="rId20" Type="http://schemas.openxmlformats.org/officeDocument/2006/relationships/hyperlink" Target="https://www.novatek.ru/common/upload/%D0%9F%D0%BE%D0%BB%D0%BE%D0%B6%D0%B5%D0%BD%D0%B8%D0%B5%20%D0%BE%20%D0%9A%D0%BE%D0%BC%D0%B8%D1%82%D0%B5%D1%82%D0%B5%20%D0%BF%D0%BE%20%D0%B2%D0%BE%D0%B7%D0%BD%20%D0%B8%20%D0%BD%D0%BE%D0%BC%D0%B8%D0%BD%D0%B0%D1%86%D0%B8%D1%8F%D0%BC_23_08_2019.pdf" TargetMode="External"/><Relationship Id="rId41" Type="http://schemas.openxmlformats.org/officeDocument/2006/relationships/hyperlink" Target="https://www.novatek.ru/common/upload/doc/Politika_v_oblasti_Zakupok_ENG.pdf" TargetMode="External"/><Relationship Id="rId54" Type="http://schemas.openxmlformats.org/officeDocument/2006/relationships/hyperlink" Target="https://arcticspg.ru/ustoychivoe-razvitie/raskrytie-informatsii/SEP_ENG_21.pdf" TargetMode="External"/><Relationship Id="rId62" Type="http://schemas.openxmlformats.org/officeDocument/2006/relationships/hyperlink" Target="https://www.novatek.ru/common/upload/doc/Politika_energoeffektivnosti.pdf" TargetMode="External"/><Relationship Id="rId70" Type="http://schemas.openxmlformats.org/officeDocument/2006/relationships/hyperlink" Target="https://www.novatek.ru/common/upload/%D0%9F%D0%BE%D0%BB%D0%B8%D1%82%D0%B8%D0%BA%D0%B0%20%D0%B2%20%D0%BE%D1%82%D0%BD%D0%BE%D1%88%D0%B5%D0%BD%D0%B8%D0%B8%20%D0%BE%D0%B1%D1%80%D0%B0%D0%B1%D0%BE%D1%82%D0%BA%D0%B8%20%D0%BF%D0%B5%D1%80%D1%81%D0%BE%D0%BD%D0%B0%D0%BB%D1%8C%D0%BD%D1%8B%D1%85%20%D0%B4%D0%B0%D0%BD%D0%BD%D1%8B%D1%85%20(1597594%20v1).pdf" TargetMode="External"/><Relationship Id="rId75" Type="http://schemas.openxmlformats.org/officeDocument/2006/relationships/hyperlink" Target="https://www.novatek.ru/en/development/iso/" TargetMode="External"/><Relationship Id="rId83" Type="http://schemas.openxmlformats.org/officeDocument/2006/relationships/drawing" Target="../drawings/drawing10.xml"/><Relationship Id="rId1" Type="http://schemas.openxmlformats.org/officeDocument/2006/relationships/hyperlink" Target="https://www.novatek.ru/ru/investors/reviews/archive/" TargetMode="External"/><Relationship Id="rId6" Type="http://schemas.openxmlformats.org/officeDocument/2006/relationships/hyperlink" Target="https://www.novatek.ru/common/upload/doc/Antikorruptsionnaya_politika_PAO_NOVATEK_ENG.pdf" TargetMode="External"/><Relationship Id="rId15" Type="http://schemas.openxmlformats.org/officeDocument/2006/relationships/hyperlink" Target="https://www.novatek.ru/common/upload/%D0%9F%D0%BE%D0%BB%D0%BE%D0%B6%D0%B5%D0%BD%D0%B8%D0%B5%20%D0%BE%D0%B1%20%D0%9E%D0%A1%D0%90%20%D1%81%20%D0%B8%D0%B7%D0%BC%202016%20%D0%B3%20_CLEAN(en)%20(003).pdf" TargetMode="External"/><Relationship Id="rId23" Type="http://schemas.openxmlformats.org/officeDocument/2006/relationships/hyperlink" Target="https://www.novatek.ru/common/upload/doc/DivRus20.pdf" TargetMode="External"/><Relationship Id="rId28" Type="http://schemas.openxmlformats.org/officeDocument/2006/relationships/hyperlink" Target="https://www.novatek.ru/common/upload/doc/POLOZHENIE_o_voznagrazhdenii_SD.pdf" TargetMode="External"/><Relationship Id="rId36" Type="http://schemas.openxmlformats.org/officeDocument/2006/relationships/hyperlink" Target="https://www.novatek.ru/common/upload/doc/SUR_en.pdf" TargetMode="External"/><Relationship Id="rId49" Type="http://schemas.openxmlformats.org/officeDocument/2006/relationships/hyperlink" Target="http://yamallng.ru/upload/ESIA%20ENG%20.pdf" TargetMode="External"/><Relationship Id="rId57" Type="http://schemas.openxmlformats.org/officeDocument/2006/relationships/hyperlink" Target="http://yamallng.ru/upload/docs/Yamal%20LNG_SEP_June_2023_Ru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ovatek.ru/en/development/archiv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novatek.ru/en/development/archiv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novatek.ru/en/development/archive/"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ovatek.ru/en/development/archive/"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ovatek.ru/en/development/archiv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novatek.ru/en/development/archiv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novatek.ru/en/development/archiv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novatek.ru/en/development/archiv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sheetPr>
  <dimension ref="A2:AB20"/>
  <sheetViews>
    <sheetView tabSelected="1" zoomScale="84" zoomScaleNormal="40" workbookViewId="0"/>
  </sheetViews>
  <sheetFormatPr defaultColWidth="9.140625" defaultRowHeight="15"/>
  <cols>
    <col min="1" max="1" width="10.42578125" style="1" customWidth="1"/>
    <col min="2" max="2" width="7.140625" style="1" customWidth="1"/>
    <col min="3" max="3" width="174.85546875" style="1" customWidth="1"/>
    <col min="4" max="4" width="61.140625" style="1" customWidth="1"/>
    <col min="5" max="5" width="9.140625" style="1"/>
    <col min="6" max="6" width="12.85546875" style="1" customWidth="1"/>
    <col min="7" max="16384" width="9.140625" style="1"/>
  </cols>
  <sheetData>
    <row r="2" spans="1:28">
      <c r="A2" s="6">
        <v>1</v>
      </c>
      <c r="B2" s="6">
        <v>1</v>
      </c>
      <c r="C2" s="7" t="s">
        <v>6</v>
      </c>
    </row>
    <row r="3" spans="1:28">
      <c r="B3" s="6" t="s">
        <v>5</v>
      </c>
    </row>
    <row r="4" spans="1:28">
      <c r="B4" s="6" t="s">
        <v>4</v>
      </c>
    </row>
    <row r="5" spans="1:28" ht="181.5" customHeight="1">
      <c r="C5" s="8"/>
    </row>
    <row r="6" spans="1:28" ht="24.95" customHeight="1">
      <c r="C6" s="148" t="str">
        <f>IF(Contents!$B$2=2,"ESG DATABOOK","СПРАВОЧНИК ESG")</f>
        <v>СПРАВОЧНИК ESG</v>
      </c>
      <c r="D6" s="148"/>
      <c r="E6" s="148"/>
      <c r="F6" s="148"/>
    </row>
    <row r="7" spans="1:28" ht="39.950000000000003" customHeight="1">
      <c r="C7" s="9"/>
      <c r="D7" s="9"/>
      <c r="E7" s="9"/>
      <c r="F7" s="9"/>
    </row>
    <row r="8" spans="1:28" ht="30" customHeight="1">
      <c r="B8" s="519">
        <v>1</v>
      </c>
      <c r="C8" s="527" t="str">
        <f>IF(Contents!$B$2=2,"Climate","Климат")</f>
        <v>Климат</v>
      </c>
      <c r="D8" s="9"/>
      <c r="E8" s="9"/>
      <c r="F8" s="9"/>
      <c r="G8" s="9"/>
    </row>
    <row r="9" spans="1:28" ht="30" customHeight="1">
      <c r="B9" s="520">
        <v>2</v>
      </c>
      <c r="C9" s="527" t="str">
        <f>IF(Contents!$B$2=2,"Environment","Экология")</f>
        <v>Экология</v>
      </c>
      <c r="D9" s="9"/>
      <c r="E9" s="9"/>
      <c r="F9" s="9"/>
    </row>
    <row r="10" spans="1:28" ht="30" customHeight="1">
      <c r="B10" s="521">
        <v>3</v>
      </c>
      <c r="C10" s="527" t="str">
        <f>IF(Contents!$B$2=2,"Personnel","Персонал")</f>
        <v>Персонал</v>
      </c>
      <c r="D10" s="9"/>
      <c r="E10" s="9"/>
      <c r="F10" s="9"/>
    </row>
    <row r="11" spans="1:28" ht="30" customHeight="1">
      <c r="B11" s="523">
        <v>4</v>
      </c>
      <c r="C11" s="527" t="str">
        <f>IF(Contents!$B$2=2,"Occupational health and safety (OHS)","Охрана труда и промышленная безопасность (ОТиПБ)")</f>
        <v>Охрана труда и промышленная безопасность (ОТиПБ)</v>
      </c>
      <c r="D11" s="9"/>
      <c r="E11" s="9"/>
      <c r="F11" s="9"/>
    </row>
    <row r="12" spans="1:28" ht="30" customHeight="1">
      <c r="B12" s="522">
        <v>5</v>
      </c>
      <c r="C12" s="527" t="str">
        <f>IF(Contents!$B$2=2,"Local communities","Местные сообщества")</f>
        <v>Местные сообщества</v>
      </c>
      <c r="D12" s="9"/>
      <c r="E12" s="9"/>
      <c r="F12" s="9"/>
    </row>
    <row r="13" spans="1:28" ht="30" customHeight="1">
      <c r="B13" s="524">
        <v>6</v>
      </c>
      <c r="C13" s="527" t="str">
        <f>IF(Contents!$B$2=2,"Corporate governance","Корпоративное управление")</f>
        <v>Корпоративное управление</v>
      </c>
      <c r="D13" s="9"/>
      <c r="E13" s="9"/>
      <c r="F13" s="9"/>
    </row>
    <row r="14" spans="1:28" ht="60" customHeight="1">
      <c r="B14" s="525">
        <v>7</v>
      </c>
      <c r="C14" s="527" t="str">
        <f>IF(Contents!$B$2=2,"Public Business Capital Standard","Стандарт общественного капитала бизнеса")</f>
        <v>Стандарт общественного капитала бизнеса</v>
      </c>
      <c r="D14" s="9"/>
      <c r="E14" s="9"/>
      <c r="F14" s="9"/>
    </row>
    <row r="15" spans="1:28" ht="52.35" customHeight="1">
      <c r="B15" s="526">
        <v>8</v>
      </c>
      <c r="C15" s="527" t="str">
        <f>IF(Contents!$B$2=2, AA15, AB15)</f>
        <v>Перечень показателей Таксономии XBRL Банка России (версия 7.5.1.0) (для эмитентов)</v>
      </c>
      <c r="D15" s="9"/>
      <c r="E15" s="9"/>
      <c r="F15" s="9"/>
      <c r="AA15" s="6" t="s">
        <v>223</v>
      </c>
      <c r="AB15" s="6" t="s">
        <v>222</v>
      </c>
    </row>
    <row r="16" spans="1:28" ht="30" customHeight="1">
      <c r="B16" s="645">
        <v>9</v>
      </c>
      <c r="C16" s="527" t="str">
        <f>IF(Contents!$B$2=2,"Corporate documents","Корпоративные документы")</f>
        <v>Корпоративные документы</v>
      </c>
      <c r="D16" s="9"/>
      <c r="E16" s="9"/>
      <c r="F16" s="9"/>
    </row>
    <row r="17" spans="3:3" ht="22.5" customHeight="1">
      <c r="C17" s="4"/>
    </row>
    <row r="18" spans="3:3">
      <c r="C18" s="2" t="str">
        <f>IF(Contents!$B$2=2,"IR NOVATEK","УПРАВЛЕНИЕ ПО СВЯЗЯМ С ИНВЕСТОРАМИ")</f>
        <v>УПРАВЛЕНИЕ ПО СВЯЗЯМ С ИНВЕСТОРАМИ</v>
      </c>
    </row>
    <row r="19" spans="3:3">
      <c r="C19" s="3" t="s">
        <v>1</v>
      </c>
    </row>
    <row r="20" spans="3:3">
      <c r="C20" s="5" t="s">
        <v>2</v>
      </c>
    </row>
  </sheetData>
  <hyperlinks>
    <hyperlink ref="C20" r:id="rId1"/>
    <hyperlink ref="C8" location="Climate!A1" display="Climate!A1"/>
    <hyperlink ref="C9" location="Environment!A1" display="Environment!A1"/>
    <hyperlink ref="C10" location="Personnel!A1" display="Personnel!A1"/>
    <hyperlink ref="C11" location="'Occupational health and safety'!A1" display="'Occupational health and safety'!A1"/>
    <hyperlink ref="C12" location="'Local communities'!A1" display="'Local communities'!A1"/>
    <hyperlink ref="C13" location="'Corporate governance'!A1" display="'Corporate governance'!A1"/>
    <hyperlink ref="C14" location="MED!A1" display="MED!A1"/>
    <hyperlink ref="C15" location="'Таксономия Банка России'!A1" display="'Таксономия Банка России'!A1"/>
    <hyperlink ref="C16" location="'Corporate documents'!A1" display="'Corporate documents'!A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531" r:id="rId5" name="Drop Down 507">
              <controlPr defaultSize="0" autoLine="0" autoPict="0" macro="[0]!DropDown7_Change">
                <anchor moveWithCells="1">
                  <from>
                    <xdr:col>1</xdr:col>
                    <xdr:colOff>257175</xdr:colOff>
                    <xdr:row>1</xdr:row>
                    <xdr:rowOff>9525</xdr:rowOff>
                  </from>
                  <to>
                    <xdr:col>2</xdr:col>
                    <xdr:colOff>2085975</xdr:colOff>
                    <xdr:row>2</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B1:K58"/>
  <sheetViews>
    <sheetView zoomScale="80" zoomScaleNormal="80" workbookViewId="0">
      <pane xSplit="1" ySplit="2" topLeftCell="B3" activePane="bottomRight" state="frozen"/>
      <selection pane="topRight" activeCell="B1" sqref="B1"/>
      <selection pane="bottomLeft" activeCell="A3" sqref="A3"/>
      <selection pane="bottomRight" activeCell="E6" sqref="E6"/>
    </sheetView>
  </sheetViews>
  <sheetFormatPr defaultColWidth="9.140625" defaultRowHeight="18.75"/>
  <cols>
    <col min="1" max="1" width="10.42578125" style="1" customWidth="1"/>
    <col min="2" max="2" width="100.42578125" style="130" customWidth="1"/>
    <col min="3" max="3" width="9.140625" style="1"/>
    <col min="4" max="5" width="15.42578125" style="118" customWidth="1"/>
    <col min="6" max="6" width="17.140625" style="1" customWidth="1"/>
    <col min="7" max="7" width="84.140625" style="1" customWidth="1"/>
    <col min="8" max="16384" width="9.140625" style="1"/>
  </cols>
  <sheetData>
    <row r="1" spans="2:11" ht="80.099999999999994" customHeight="1">
      <c r="B1" s="487" t="s">
        <v>168</v>
      </c>
    </row>
    <row r="2" spans="2:11" ht="30" customHeight="1">
      <c r="B2" s="143" t="str">
        <f>IF(Contents!$B$2=2,"Corporate documents","Корпоративные документы")</f>
        <v>Корпоративные документы</v>
      </c>
      <c r="C2" s="144"/>
      <c r="D2" s="145"/>
      <c r="E2" s="146"/>
      <c r="F2" s="119"/>
      <c r="G2" s="119"/>
      <c r="H2" s="119"/>
      <c r="I2" s="120"/>
      <c r="J2" s="121"/>
      <c r="K2" s="122"/>
    </row>
    <row r="3" spans="2:11" ht="18">
      <c r="B3" s="123"/>
      <c r="C3" s="123"/>
      <c r="D3" s="123"/>
      <c r="E3" s="123"/>
      <c r="G3" s="125"/>
    </row>
    <row r="4" spans="2:11" ht="12.75" customHeight="1">
      <c r="B4" s="124"/>
      <c r="G4" s="125"/>
    </row>
    <row r="5" spans="2:11" ht="30" customHeight="1">
      <c r="B5" s="136" t="str">
        <f>IF(Contents!$B$2=2,"Reporting","Отчетность")</f>
        <v>Отчетность</v>
      </c>
      <c r="C5" s="137"/>
      <c r="D5" s="137"/>
      <c r="E5" s="137"/>
      <c r="G5" s="126"/>
    </row>
    <row r="6" spans="2:11" ht="18">
      <c r="B6" s="127" t="str">
        <f>IF(Contents!$B$2=2,"Sustainability Report 2025","Отчет об устойчивом развитии за 2025 год")</f>
        <v>Отчет об устойчивом развитии за 2025 год</v>
      </c>
      <c r="D6" s="138" t="s">
        <v>12</v>
      </c>
      <c r="E6" s="138" t="s">
        <v>13</v>
      </c>
    </row>
    <row r="7" spans="2:11" ht="20.100000000000001" customHeight="1">
      <c r="B7" s="127" t="str">
        <f>IF(Contents!$B$2=2,"Annual Review 2025","Годовой обзор за 2025 год")</f>
        <v>Годовой обзор за 2025 год</v>
      </c>
      <c r="D7" s="138" t="s">
        <v>12</v>
      </c>
      <c r="E7" s="138" t="s">
        <v>13</v>
      </c>
      <c r="G7" s="129"/>
    </row>
    <row r="8" spans="2:11" ht="20.100000000000001" customHeight="1">
      <c r="B8" s="127" t="str">
        <f>IF(Contents!$B$2=2,"Annual Reviews Archive","Архив Годовых обзоров")</f>
        <v>Архив Годовых обзоров</v>
      </c>
      <c r="C8" s="127"/>
      <c r="D8" s="138" t="s">
        <v>12</v>
      </c>
      <c r="E8" s="138" t="s">
        <v>13</v>
      </c>
      <c r="G8" s="125"/>
    </row>
    <row r="9" spans="2:11" ht="20.100000000000001" customHeight="1">
      <c r="B9" s="127" t="str">
        <f>IF(Contents!$B$2=2,"Sustainability Reports Archive","Архив Отчетов об устойчивом развитии")</f>
        <v>Архив Отчетов об устойчивом развитии</v>
      </c>
      <c r="C9" s="127"/>
      <c r="D9" s="138" t="s">
        <v>12</v>
      </c>
      <c r="E9" s="138" t="s">
        <v>13</v>
      </c>
    </row>
    <row r="10" spans="2:11" ht="19.5" customHeight="1"/>
    <row r="11" spans="2:11" ht="30" customHeight="1">
      <c r="B11" s="496" t="str">
        <f>IF(Contents!$B$2=2,"Climate","Климат")</f>
        <v>Климат</v>
      </c>
      <c r="C11" s="497"/>
      <c r="D11" s="497"/>
      <c r="E11" s="497"/>
    </row>
    <row r="12" spans="2:11" ht="20.100000000000001" customHeight="1">
      <c r="B12" s="127" t="str">
        <f>IF(Contents!$B$2=2,"Energy efficiency and energy saving policy","Политика в области энергоэффективности и энергосбережения")</f>
        <v>Политика в области энергоэффективности и энергосбережения</v>
      </c>
      <c r="C12" s="127"/>
      <c r="D12" s="138" t="s">
        <v>12</v>
      </c>
      <c r="E12" s="138" t="s">
        <v>13</v>
      </c>
    </row>
    <row r="13" spans="2:11" ht="20.100000000000001" customHeight="1">
      <c r="B13" s="127" t="str">
        <f>IF(Contents!$B$2=2,"NOVATEK's Environmental and Climate Change Targets","Цели «НОВАТЭКа» в области охраны окружающей среды и изменения климата")</f>
        <v>Цели «НОВАТЭКа» в области охраны окружающей среды и изменения климата</v>
      </c>
      <c r="C13" s="127"/>
      <c r="D13" s="138" t="s">
        <v>12</v>
      </c>
      <c r="E13" s="138" t="s">
        <v>13</v>
      </c>
    </row>
    <row r="14" spans="2:11" ht="20.100000000000001" customHeight="1">
      <c r="B14" s="127" t="str">
        <f>IF(Contents!$B$2=2,"Greenhouse gases and energy efficiency philosophy (Arctic LNG 2)","Концепция управления выбросами парниковых газов и энергоэффективностью (Арктик СПГ 2)")</f>
        <v>Концепция управления выбросами парниковых газов и энергоэффективностью (Арктик СПГ 2)</v>
      </c>
      <c r="C14" s="127"/>
      <c r="D14" s="138"/>
      <c r="E14" s="138" t="s">
        <v>13</v>
      </c>
    </row>
    <row r="15" spans="2:11" ht="20.100000000000001" customHeight="1">
      <c r="B15" s="127" t="str">
        <f>IF(Contents!$B$2=2,"Greenhouse gases and energy efficiency Management Plan (Arctic LNG 2)","План управления выбросами парниковых газов и энергоэффективностью (Арктик СПГ 2)")</f>
        <v>План управления выбросами парниковых газов и энергоэффективностью (Арктик СПГ 2)</v>
      </c>
      <c r="C15" s="127"/>
      <c r="D15" s="138"/>
      <c r="E15" s="138" t="s">
        <v>13</v>
      </c>
    </row>
    <row r="16" spans="2:11" ht="18">
      <c r="B16" s="127"/>
      <c r="D16" s="128"/>
      <c r="E16" s="128"/>
    </row>
    <row r="17" spans="2:5" ht="30" customHeight="1">
      <c r="B17" s="498" t="str">
        <f>IF(Contents!$B$2=2,"Environment","Экология")</f>
        <v>Экология</v>
      </c>
      <c r="C17" s="499"/>
      <c r="D17" s="499"/>
      <c r="E17" s="499"/>
    </row>
    <row r="18" spans="2:5" ht="18">
      <c r="B18" s="127" t="str">
        <f>IF(Contents!$B$2=2,"Occupational Health, Industrial &amp; Fire Safety and Environmental Protection Policy","Политика в области охраны окружающей среды, промышленной безопасности и охраны труда")</f>
        <v>Политика в области охраны окружающей среды, промышленной безопасности и охраны труда</v>
      </c>
      <c r="C18" s="127"/>
      <c r="D18" s="138" t="s">
        <v>12</v>
      </c>
      <c r="E18" s="138" t="s">
        <v>13</v>
      </c>
    </row>
    <row r="19" spans="2:5" ht="18">
      <c r="B19" s="127" t="str">
        <f>IF(Contents!$B$2=2,"Integrated Management System for Environmental Protection","Интегрированная система управления вопросами охраны окружающей среды")</f>
        <v>Интегрированная система управления вопросами охраны окружающей среды</v>
      </c>
      <c r="C19" s="127"/>
      <c r="D19" s="138" t="s">
        <v>12</v>
      </c>
      <c r="E19" s="138" t="s">
        <v>13</v>
      </c>
    </row>
    <row r="20" spans="2:5" ht="18">
      <c r="B20" s="127" t="str">
        <f>IF(Contents!$B$2=2,"NOVATEK's Environmental and Climate Change Targets","Цели «НОВАТЭКа» в области охраны окружающей среды и изменения климата")</f>
        <v>Цели «НОВАТЭКа» в области охраны окружающей среды и изменения климата</v>
      </c>
      <c r="C20" s="127"/>
      <c r="D20" s="138" t="s">
        <v>12</v>
      </c>
      <c r="E20" s="138" t="s">
        <v>13</v>
      </c>
    </row>
    <row r="21" spans="2:5" ht="18">
      <c r="B21" s="127" t="str">
        <f>IF(Contents!$B$2=2,"Biodiversity Implementation Strategy (Arctic LNG 2)","Стратегия сохранения биоразнообразия (Арктик СПГ 2)")</f>
        <v>Стратегия сохранения биоразнообразия (Арктик СПГ 2)</v>
      </c>
      <c r="C21" s="127"/>
      <c r="D21" s="138"/>
      <c r="E21" s="138" t="s">
        <v>13</v>
      </c>
    </row>
    <row r="22" spans="2:5" ht="18">
      <c r="B22" s="127" t="str">
        <f>IF(Contents!$B$2=2,"Environmental, Social and Health Impact Assessment (Arctic LNG 2)","Оценка воздействия на окружающую среду, социальную сферу и здоровье (Арктик СПГ 2)")</f>
        <v>Оценка воздействия на окружающую среду, социальную сферу и здоровье (Арктик СПГ 2)</v>
      </c>
      <c r="C22" s="127"/>
      <c r="D22" s="138" t="s">
        <v>12</v>
      </c>
      <c r="E22" s="138" t="s">
        <v>13</v>
      </c>
    </row>
    <row r="23" spans="2:5" ht="18">
      <c r="B23" s="127" t="str">
        <f>IF(Contents!$B$2=2,"Environmental and Social Impact Assessment (Yamal LNG)","Оценка воздействия на окружающую среду и социальную сферу (Ямал СПГ)")</f>
        <v>Оценка воздействия на окружающую среду и социальную сферу (Ямал СПГ)</v>
      </c>
      <c r="C23" s="127"/>
      <c r="D23" s="138" t="s">
        <v>12</v>
      </c>
      <c r="E23" s="138" t="s">
        <v>13</v>
      </c>
    </row>
    <row r="24" spans="2:5" ht="18">
      <c r="B24" s="127" t="str">
        <f>IF(Contents!$B$2=2,"Environmental and social scoping report  (Yamal LNG)","Отчет об экологическом и социальном анализе (Ямал СПГ)")</f>
        <v>Отчет об экологическом и социальном анализе (Ямал СПГ)</v>
      </c>
      <c r="C24" s="127"/>
      <c r="D24" s="138"/>
      <c r="E24" s="138" t="s">
        <v>13</v>
      </c>
    </row>
    <row r="25" spans="2:5" ht="18">
      <c r="B25" s="127" t="str">
        <f>IF(Contents!$B$2=2,"Project Environmental and Social Standards  (Yamal LNG)","Экологические и социальные стандарты проекта (Ямал СПГ)")</f>
        <v>Экологические и социальные стандарты проекта (Ямал СПГ)</v>
      </c>
      <c r="C25" s="127"/>
      <c r="D25" s="138" t="s">
        <v>12</v>
      </c>
      <c r="E25" s="138" t="s">
        <v>13</v>
      </c>
    </row>
    <row r="26" spans="2:5" ht="20.100000000000001" customHeight="1">
      <c r="B26" s="135"/>
    </row>
    <row r="27" spans="2:5" s="131" customFormat="1" ht="30" customHeight="1">
      <c r="B27" s="132" t="str">
        <f>IF(Contents!$B$2=2,"Occupational health and safety (OHS)","Охрана труда и промышленная безопасность (ОТиПБ)")</f>
        <v>Охрана труда и промышленная безопасность (ОТиПБ)</v>
      </c>
      <c r="C27" s="133"/>
      <c r="D27" s="133"/>
      <c r="E27" s="133"/>
    </row>
    <row r="28" spans="2:5" s="131" customFormat="1" ht="23.25">
      <c r="B28" s="127" t="str">
        <f>IF(Contents!$B$2=2,"Environmental, Industrial Safety and Occupational Health Policy","Политика в области охраны окружающей среды, промышленной безопасности и охраны труда")</f>
        <v>Политика в области охраны окружающей среды, промышленной безопасности и охраны труда</v>
      </c>
      <c r="C28" s="127"/>
      <c r="D28" s="138" t="s">
        <v>12</v>
      </c>
      <c r="E28" s="138" t="s">
        <v>13</v>
      </c>
    </row>
    <row r="29" spans="2:5" s="131" customFormat="1" ht="23.25">
      <c r="B29" s="127" t="str">
        <f>IF(Contents!$B$2=2,"Integrated Occupational Health and Safety Management System","Интегрированная система управления охраной труда и промышленной безопасностью")</f>
        <v>Интегрированная система управления охраной труда и промышленной безопасностью</v>
      </c>
      <c r="C29" s="127"/>
      <c r="D29" s="138" t="s">
        <v>12</v>
      </c>
      <c r="E29" s="138" t="s">
        <v>13</v>
      </c>
    </row>
    <row r="30" spans="2:5" ht="20.100000000000001" customHeight="1">
      <c r="B30" s="135"/>
    </row>
    <row r="31" spans="2:5" s="131" customFormat="1" ht="30" customHeight="1">
      <c r="B31" s="500" t="str">
        <f>IF(Contents!$B$2=2,"Local communities","Местные сообщества")</f>
        <v>Местные сообщества</v>
      </c>
      <c r="C31" s="501"/>
      <c r="D31" s="501"/>
      <c r="E31" s="501"/>
    </row>
    <row r="32" spans="2:5" s="131" customFormat="1" ht="23.25">
      <c r="B32" s="127" t="str">
        <f>IF(Contents!$B$2=2,"Stakeholder Engagement Plan (Arctic LNG 2)","План взаимодействия с заинтересованными сторонами (Арктик СПГ 2)")</f>
        <v>План взаимодействия с заинтересованными сторонами (Арктик СПГ 2)</v>
      </c>
      <c r="C32" s="127"/>
      <c r="D32" s="138" t="s">
        <v>12</v>
      </c>
      <c r="E32" s="138" t="s">
        <v>13</v>
      </c>
    </row>
    <row r="33" spans="2:6" s="131" customFormat="1" ht="23.25">
      <c r="B33" s="127" t="str">
        <f>IF(Contents!$B$2=2,"Area of Influence (Arctic LNG 2)","Область воздействия (Арктик СПГ 2)")</f>
        <v>Область воздействия (Арктик СПГ 2)</v>
      </c>
      <c r="C33" s="127"/>
      <c r="D33" s="138"/>
      <c r="E33" s="138" t="s">
        <v>13</v>
      </c>
    </row>
    <row r="34" spans="2:6" s="131" customFormat="1" ht="23.25">
      <c r="B34" s="127" t="str">
        <f>IF(Contents!$B$2=2,"Stakeholder Engagement Plan (Yamal LNG)","План взаимодействия с заинтересованными сторонами (Ямал СПГ)")</f>
        <v>План взаимодействия с заинтересованными сторонами (Ямал СПГ)</v>
      </c>
      <c r="C34" s="127"/>
      <c r="D34" s="138" t="s">
        <v>12</v>
      </c>
      <c r="E34" s="138" t="s">
        <v>13</v>
      </c>
    </row>
    <row r="35" spans="2:6" s="131" customFormat="1" ht="23.25">
      <c r="B35" s="127"/>
      <c r="C35" s="1"/>
      <c r="D35" s="128"/>
      <c r="E35" s="128"/>
    </row>
    <row r="36" spans="2:6" ht="30" customHeight="1">
      <c r="B36" s="502" t="str">
        <f>IF(Contents!$B$2=2,"Corporate governance","Корпоративное управление")</f>
        <v>Корпоративное управление</v>
      </c>
      <c r="C36" s="503"/>
      <c r="D36" s="503"/>
      <c r="E36" s="503"/>
    </row>
    <row r="37" spans="2:6" ht="18">
      <c r="B37" s="127" t="str">
        <f>IF(Contents!$B$2=2,"Articles of Association","Устав")</f>
        <v>Устав</v>
      </c>
      <c r="C37" s="127"/>
      <c r="D37" s="138" t="s">
        <v>12</v>
      </c>
      <c r="E37" s="138" t="s">
        <v>13</v>
      </c>
    </row>
    <row r="38" spans="2:6" ht="18">
      <c r="B38" s="127" t="str">
        <f>IF(Contents!$B$2=2,"Code of Business Conduct and Ethics","Кодекс деловой этики")</f>
        <v>Кодекс деловой этики</v>
      </c>
      <c r="C38" s="127"/>
      <c r="D38" s="138" t="s">
        <v>12</v>
      </c>
      <c r="E38" s="138" t="s">
        <v>13</v>
      </c>
      <c r="F38" s="128"/>
    </row>
    <row r="39" spans="2:6" ht="18">
      <c r="B39" s="127" t="str">
        <f>IF(Contents!$B$2=2,"Supplier Code of Conduct","Кодекс поведения поставщика")</f>
        <v>Кодекс поведения поставщика</v>
      </c>
      <c r="C39" s="127"/>
      <c r="D39" s="138" t="s">
        <v>12</v>
      </c>
      <c r="E39" s="138" t="s">
        <v>13</v>
      </c>
    </row>
    <row r="40" spans="2:6" ht="18">
      <c r="B40" s="127" t="str">
        <f>IF(Contents!$B$2=2,"Purchasing Policy","Политика в области закупок")</f>
        <v>Политика в области закупок</v>
      </c>
      <c r="C40" s="127"/>
      <c r="D40" s="138" t="s">
        <v>12</v>
      </c>
      <c r="E40" s="138" t="s">
        <v>13</v>
      </c>
    </row>
    <row r="41" spans="2:6" ht="20.100000000000001" customHeight="1">
      <c r="B41" s="127" t="str">
        <f>IF(Contents!$B$2=2,"Anti-Corruption Policy","Антикоррупционная политика")</f>
        <v>Антикоррупционная политика</v>
      </c>
      <c r="C41" s="127"/>
      <c r="D41" s="138" t="s">
        <v>12</v>
      </c>
      <c r="E41" s="138" t="s">
        <v>13</v>
      </c>
    </row>
    <row r="42" spans="2:6" ht="20.100000000000001" customHeight="1">
      <c r="B42" s="127" t="str">
        <f>IF(Contents!$B$2=2,"Human Rights Policy","Политика по правам человека")</f>
        <v>Политика по правам человека</v>
      </c>
      <c r="C42" s="127"/>
      <c r="D42" s="138" t="s">
        <v>12</v>
      </c>
      <c r="E42" s="138" t="s">
        <v>13</v>
      </c>
    </row>
    <row r="43" spans="2:6" ht="20.100000000000001" customHeight="1">
      <c r="B43" s="127" t="str">
        <f>IF(Contents!$B$2=2,"Regulations on Dividend Policy","Положение о дивидендной политике")</f>
        <v>Положение о дивидендной политике</v>
      </c>
      <c r="C43" s="127"/>
      <c r="D43" s="138" t="s">
        <v>12</v>
      </c>
      <c r="E43" s="138" t="s">
        <v>13</v>
      </c>
    </row>
    <row r="44" spans="2:6" ht="20.100000000000001" customHeight="1">
      <c r="B44" s="127" t="str">
        <f>IF(Contents!$B$2=2,"Regulations on the General Meeting of Shareholders","Положение об общем собрании акционеров")</f>
        <v>Положение об общем собрании акционеров</v>
      </c>
      <c r="C44" s="127"/>
      <c r="D44" s="138" t="s">
        <v>12</v>
      </c>
      <c r="E44" s="138" t="s">
        <v>13</v>
      </c>
    </row>
    <row r="45" spans="2:6" ht="20.100000000000001" customHeight="1">
      <c r="B45" s="127" t="str">
        <f>IF(Contents!$B$2=2,"Regulations on the Board of Directors","Положение о Совете директоров")</f>
        <v>Положение о Совете директоров</v>
      </c>
      <c r="C45" s="127"/>
      <c r="D45" s="138" t="s">
        <v>12</v>
      </c>
      <c r="E45" s="138" t="s">
        <v>13</v>
      </c>
    </row>
    <row r="46" spans="2:6" ht="20.100000000000001" customHeight="1">
      <c r="B46" s="127" t="str">
        <f>IF(Contents!$B$2=2,"Regulations on Remuneration and Compensations Payable to Members of the Board of Directors","Положение о вознаграждениях и компенсациях, выплачиваемых членам Совета директоров")</f>
        <v>Положение о вознаграждениях и компенсациях, выплачиваемых членам Совета директоров</v>
      </c>
      <c r="C46" s="127"/>
      <c r="D46" s="138" t="s">
        <v>12</v>
      </c>
      <c r="E46" s="138" t="s">
        <v>13</v>
      </c>
    </row>
    <row r="47" spans="2:6" ht="20.100000000000001" customHeight="1">
      <c r="B47" s="127" t="str">
        <f>IF(Contents!$B$2=2,"Regulations on the Audit Committee","Положение о Комитете по аудиту")</f>
        <v>Положение о Комитете по аудиту</v>
      </c>
      <c r="C47" s="127"/>
      <c r="D47" s="138" t="s">
        <v>12</v>
      </c>
      <c r="E47" s="138" t="s">
        <v>13</v>
      </c>
    </row>
    <row r="48" spans="2:6" ht="20.100000000000001" customHeight="1">
      <c r="B48" s="127" t="str">
        <f>IF(Contents!$B$2=2,"Regulation on the Strategy Committee","Положение о Комитете по стратегии")</f>
        <v>Положение о Комитете по стратегии</v>
      </c>
      <c r="C48" s="127"/>
      <c r="D48" s="138" t="s">
        <v>12</v>
      </c>
      <c r="E48" s="138" t="s">
        <v>13</v>
      </c>
    </row>
    <row r="49" spans="2:5" ht="20.100000000000001" customHeight="1">
      <c r="B49" s="127" t="str">
        <f>IF(Contents!$B$2=2,"Regulations on the Remuneration and Nomination Committee","Положение о Комитете по вознаграждениям и номинациям")</f>
        <v>Положение о Комитете по вознаграждениям и номинациям</v>
      </c>
      <c r="C49" s="127"/>
      <c r="D49" s="138" t="s">
        <v>12</v>
      </c>
      <c r="E49" s="138" t="s">
        <v>13</v>
      </c>
    </row>
    <row r="50" spans="2:5" ht="20.100000000000001" customHeight="1">
      <c r="B50" s="127" t="str">
        <f>IF(Contents!$B$2=2,"Regulations on the Corporate Secretary","Положение о Корпоративном секретаре")</f>
        <v>Положение о Корпоративном секретаре</v>
      </c>
      <c r="C50" s="127"/>
      <c r="D50" s="138" t="s">
        <v>12</v>
      </c>
      <c r="E50" s="138" t="s">
        <v>13</v>
      </c>
    </row>
    <row r="51" spans="2:5" ht="20.100000000000001" customHeight="1">
      <c r="B51" s="127" t="str">
        <f>IF(Contents!$B$2=2,"Regulations on the Management Board","Положение о Правлении")</f>
        <v>Положение о Правлении</v>
      </c>
      <c r="C51" s="127"/>
      <c r="D51" s="138" t="s">
        <v>12</v>
      </c>
      <c r="E51" s="138" t="s">
        <v>13</v>
      </c>
    </row>
    <row r="52" spans="2:5" ht="20.100000000000001" customHeight="1">
      <c r="B52" s="127" t="str">
        <f>IF(Contents!$B$2=2,"Regulations on Risk Management and Internal Control System","Положение о системе управления рисками и внутреннего контроля")</f>
        <v>Положение о системе управления рисками и внутреннего контроля</v>
      </c>
      <c r="C52" s="127"/>
      <c r="D52" s="138" t="s">
        <v>12</v>
      </c>
      <c r="E52" s="138" t="s">
        <v>13</v>
      </c>
    </row>
    <row r="53" spans="2:5" ht="20.100000000000001" customHeight="1">
      <c r="B53" s="127" t="str">
        <f>IF(Contents!$B$2=2,"Regulations for Revision Commission","Положение о ревизионной комиссии")</f>
        <v>Положение о ревизионной комиссии</v>
      </c>
      <c r="C53" s="127"/>
      <c r="D53" s="138" t="s">
        <v>12</v>
      </c>
      <c r="E53" s="138" t="s">
        <v>13</v>
      </c>
    </row>
    <row r="54" spans="2:5" ht="18">
      <c r="B54" s="127" t="str">
        <f>IF(Contents!$B$2=2,"Internal Audit Policy","Политика в области внутреннего аудита")</f>
        <v>Политика в области внутреннего аудита</v>
      </c>
      <c r="C54" s="127"/>
      <c r="D54" s="138" t="s">
        <v>12</v>
      </c>
      <c r="E54" s="138" t="s">
        <v>13</v>
      </c>
    </row>
    <row r="55" spans="2:5" ht="20.100000000000001" customHeight="1">
      <c r="B55" s="127" t="str">
        <f>IF(Contents!$B$2=2,"Regulations on Information Policy","Положение об информационной политике")</f>
        <v>Положение об информационной политике</v>
      </c>
      <c r="C55" s="127"/>
      <c r="D55" s="138" t="s">
        <v>12</v>
      </c>
      <c r="E55" s="138" t="s">
        <v>13</v>
      </c>
    </row>
    <row r="56" spans="2:5" ht="18">
      <c r="B56" s="127" t="str">
        <f>IF(Contents!$B$2=2,"Policy on personal data processing", "Политика в отношении обработки персональных данных")</f>
        <v>Политика в отношении обработки персональных данных</v>
      </c>
      <c r="C56" s="127"/>
      <c r="D56" s="138" t="s">
        <v>12</v>
      </c>
      <c r="E56" s="138"/>
    </row>
    <row r="57" spans="2:5" ht="54">
      <c r="B57" s="134" t="str">
        <f>IF(Contents!$B$2=2,"Regulations on the procedure of access to insider information, protecting its confidentiality, disclosure and control over its unlawful use","Положение о порядке доступа к инсайдерской информации, охраны ее конфиденциальности, раскрытия и контроля за неправомерным использованием инсайдерской информации")</f>
        <v>Положение о порядке доступа к инсайдерской информации, охраны ее конфиденциальности, раскрытия и контроля за неправомерным использованием инсайдерской информации</v>
      </c>
      <c r="C57" s="127"/>
      <c r="D57" s="138" t="s">
        <v>12</v>
      </c>
      <c r="E57" s="138" t="s">
        <v>13</v>
      </c>
    </row>
    <row r="58" spans="2:5" ht="18">
      <c r="B58" s="127" t="str">
        <f>IF(Contents!$B$2=2,"List of insider information", "Перечень инсайдерской информации")</f>
        <v>Перечень инсайдерской информации</v>
      </c>
      <c r="C58" s="127"/>
      <c r="D58" s="138" t="s">
        <v>12</v>
      </c>
      <c r="E58" s="138"/>
    </row>
  </sheetData>
  <hyperlinks>
    <hyperlink ref="D8" r:id="rId1"/>
    <hyperlink ref="E9" r:id="rId2"/>
    <hyperlink ref="D9" r:id="rId3"/>
    <hyperlink ref="D38" r:id="rId4"/>
    <hyperlink ref="E38" r:id="rId5"/>
    <hyperlink ref="E41" r:id="rId6"/>
    <hyperlink ref="D41" r:id="rId7"/>
    <hyperlink ref="D39" r:id="rId8"/>
    <hyperlink ref="E39" r:id="rId9"/>
    <hyperlink ref="E42" r:id="rId10"/>
    <hyperlink ref="D42" r:id="rId11"/>
    <hyperlink ref="D37" r:id="rId12"/>
    <hyperlink ref="E37" r:id="rId13"/>
    <hyperlink ref="D44" r:id="rId14"/>
    <hyperlink ref="E44" r:id="rId15"/>
    <hyperlink ref="E45" r:id="rId16"/>
    <hyperlink ref="E51" r:id="rId17"/>
    <hyperlink ref="D51" r:id="rId18"/>
    <hyperlink ref="D45" r:id="rId19"/>
    <hyperlink ref="D49" r:id="rId20"/>
    <hyperlink ref="D47" r:id="rId21"/>
    <hyperlink ref="D55" r:id="rId22"/>
    <hyperlink ref="D43" r:id="rId23"/>
    <hyperlink ref="D48" r:id="rId24"/>
    <hyperlink ref="D50" r:id="rId25"/>
    <hyperlink ref="D54" r:id="rId26"/>
    <hyperlink ref="D52" r:id="rId27"/>
    <hyperlink ref="D46" r:id="rId28"/>
    <hyperlink ref="E47" r:id="rId29"/>
    <hyperlink ref="E49" r:id="rId30"/>
    <hyperlink ref="E48" r:id="rId31"/>
    <hyperlink ref="E43" r:id="rId32"/>
    <hyperlink ref="E55" r:id="rId33"/>
    <hyperlink ref="E50" r:id="rId34"/>
    <hyperlink ref="E54" r:id="rId35"/>
    <hyperlink ref="E52" r:id="rId36"/>
    <hyperlink ref="E46" r:id="rId37"/>
    <hyperlink ref="D13" r:id="rId38"/>
    <hyperlink ref="E13" r:id="rId39"/>
    <hyperlink ref="D40" r:id="rId40"/>
    <hyperlink ref="E40" r:id="rId41"/>
    <hyperlink ref="D53" r:id="rId42"/>
    <hyperlink ref="E53" r:id="rId43" display="llink"/>
    <hyperlink ref="D57" r:id="rId44"/>
    <hyperlink ref="E57" r:id="rId45"/>
    <hyperlink ref="E21" r:id="rId46"/>
    <hyperlink ref="E14" r:id="rId47"/>
    <hyperlink ref="E15" r:id="rId48"/>
    <hyperlink ref="E23" r:id="rId49"/>
    <hyperlink ref="E24" r:id="rId50"/>
    <hyperlink ref="E25" r:id="rId51"/>
    <hyperlink ref="D25" r:id="rId52"/>
    <hyperlink ref="D23" r:id="rId53"/>
    <hyperlink ref="E32" r:id="rId54"/>
    <hyperlink ref="E33" r:id="rId55"/>
    <hyperlink ref="E22" r:id="rId56"/>
    <hyperlink ref="D34" r:id="rId57"/>
    <hyperlink ref="E34" r:id="rId58"/>
    <hyperlink ref="D18" r:id="rId59"/>
    <hyperlink ref="E18" r:id="rId60"/>
    <hyperlink ref="D32" r:id="rId61"/>
    <hyperlink ref="D12" r:id="rId62"/>
    <hyperlink ref="E12" r:id="rId63"/>
    <hyperlink ref="D20" r:id="rId64"/>
    <hyperlink ref="E20" r:id="rId65"/>
    <hyperlink ref="D22" r:id="rId66"/>
    <hyperlink ref="D19" r:id="rId67"/>
    <hyperlink ref="E19" r:id="rId68"/>
    <hyperlink ref="B58" r:id="rId69" tooltip="Скачать PDF" display="https://www.novatek.ru/common/upload/doc/Perechen_insayd_inform.pdf"/>
    <hyperlink ref="D56" r:id="rId70"/>
    <hyperlink ref="D58" r:id="rId71"/>
    <hyperlink ref="B1" location="Contents!A1" display="← Back to Contents"/>
    <hyperlink ref="D28" r:id="rId72"/>
    <hyperlink ref="E28" r:id="rId73"/>
    <hyperlink ref="D29" r:id="rId74"/>
    <hyperlink ref="E29" r:id="rId75"/>
    <hyperlink ref="E7" r:id="rId76"/>
    <hyperlink ref="E6" r:id="rId77"/>
    <hyperlink ref="E8" r:id="rId78"/>
    <hyperlink ref="D6" r:id="rId79"/>
    <hyperlink ref="D7" r:id="rId80"/>
    <hyperlink ref="D6:D7" r:id="rId81" display="ссылка"/>
  </hyperlinks>
  <pageMargins left="0.7" right="0.7" top="0.75" bottom="0.75" header="0.3" footer="0.3"/>
  <pageSetup paperSize="9" orientation="portrait" r:id="rId82"/>
  <drawing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P211"/>
  <sheetViews>
    <sheetView showGridLines="0" zoomScale="50" zoomScaleNormal="50" zoomScaleSheetLayoutView="50" workbookViewId="0">
      <pane xSplit="1" ySplit="8" topLeftCell="B9" activePane="bottomRight" state="frozen"/>
      <selection pane="topRight" activeCell="C1" sqref="C1"/>
      <selection pane="bottomLeft" activeCell="A9" sqref="A9"/>
      <selection pane="bottomRight" activeCell="B136" sqref="B136"/>
    </sheetView>
  </sheetViews>
  <sheetFormatPr defaultColWidth="9.140625" defaultRowHeight="18.75"/>
  <cols>
    <col min="1" max="1" width="17.28515625" style="851" customWidth="1"/>
    <col min="2" max="2" width="100.42578125" style="14" customWidth="1"/>
    <col min="3" max="3" width="20.42578125" style="15" customWidth="1"/>
    <col min="4" max="8" width="20.42578125" style="16" customWidth="1"/>
    <col min="9" max="9" width="20.42578125" style="150" customWidth="1"/>
    <col min="10" max="13" width="20.42578125" style="16" customWidth="1"/>
    <col min="14" max="14" width="19.85546875" style="16" customWidth="1"/>
    <col min="15" max="15" width="10.85546875" style="16" bestFit="1" customWidth="1"/>
    <col min="16" max="16" width="13.85546875" style="589" customWidth="1"/>
    <col min="17" max="17" width="17.42578125" style="16" customWidth="1"/>
    <col min="18" max="21" width="23" style="589" customWidth="1"/>
    <col min="22" max="22" width="8.140625" style="589" customWidth="1"/>
    <col min="23" max="23" width="15.42578125" style="589" customWidth="1"/>
    <col min="24" max="24" width="8.85546875" style="589" customWidth="1"/>
    <col min="25" max="25" width="8.42578125" style="589" customWidth="1"/>
    <col min="26" max="27" width="9.140625" style="785"/>
    <col min="28" max="16384" width="9.140625" style="14"/>
  </cols>
  <sheetData>
    <row r="1" spans="1:250" ht="104.45" customHeight="1">
      <c r="B1" s="487" t="s">
        <v>168</v>
      </c>
      <c r="G1" s="149"/>
    </row>
    <row r="2" spans="1:250">
      <c r="B2" s="18" t="str">
        <f>IF(Contents!$B$2=2,"CONTENTS","СОДЕРЖАНИЕ")</f>
        <v>СОДЕРЖАНИЕ</v>
      </c>
      <c r="C2" s="152"/>
      <c r="D2" s="153"/>
      <c r="E2" s="153"/>
      <c r="F2" s="153"/>
      <c r="G2" s="153"/>
      <c r="H2" s="153"/>
      <c r="I2" s="153"/>
      <c r="J2" s="153"/>
      <c r="K2" s="153"/>
      <c r="L2" s="153"/>
      <c r="M2" s="153"/>
      <c r="N2" s="153"/>
    </row>
    <row r="3" spans="1:250">
      <c r="B3" s="567" t="str">
        <f>IF(Contents!$B$2=2,"Climate","Климат")</f>
        <v>Климат</v>
      </c>
      <c r="C3" s="567" t="str">
        <f>IF(Contents!$B$2=2,"Production and reserves","Добыча и запасы")</f>
        <v>Добыча и запасы</v>
      </c>
      <c r="D3" s="566"/>
      <c r="E3" s="534"/>
      <c r="F3" s="534"/>
      <c r="H3" s="564"/>
      <c r="I3" s="564"/>
      <c r="J3" s="534"/>
      <c r="K3" s="564"/>
      <c r="L3" s="565"/>
      <c r="M3" s="565"/>
      <c r="N3" s="565"/>
    </row>
    <row r="4" spans="1:250" s="1" customFormat="1">
      <c r="A4" s="851"/>
      <c r="B4" s="582"/>
      <c r="C4" s="583"/>
      <c r="D4" s="573"/>
      <c r="E4" s="485"/>
      <c r="F4" s="485"/>
      <c r="G4" s="489"/>
      <c r="H4" s="485"/>
      <c r="I4" s="486"/>
      <c r="J4" s="485"/>
      <c r="K4" s="485"/>
      <c r="L4" s="16"/>
      <c r="M4" s="16"/>
      <c r="N4" s="16"/>
      <c r="O4" s="16"/>
      <c r="P4" s="589"/>
      <c r="Q4" s="16"/>
      <c r="R4" s="589"/>
      <c r="S4" s="589"/>
      <c r="T4" s="589"/>
      <c r="U4" s="589"/>
      <c r="V4" s="589"/>
      <c r="W4" s="589"/>
      <c r="X4" s="589"/>
      <c r="Y4" s="589"/>
      <c r="Z4" s="785"/>
      <c r="AA4" s="785"/>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row>
    <row r="5" spans="1:250" s="1" customFormat="1">
      <c r="A5" s="851"/>
      <c r="B5" s="487"/>
      <c r="C5" s="488"/>
      <c r="D5" s="485"/>
      <c r="E5" s="485"/>
      <c r="F5" s="485"/>
      <c r="G5" s="489"/>
      <c r="H5" s="485"/>
      <c r="I5" s="486"/>
      <c r="J5" s="485"/>
      <c r="K5" s="485"/>
      <c r="L5" s="16"/>
      <c r="M5" s="16"/>
      <c r="N5" s="16"/>
      <c r="O5" s="16"/>
      <c r="P5" s="589"/>
      <c r="Q5" s="16"/>
      <c r="R5" s="589"/>
      <c r="S5" s="589"/>
      <c r="T5" s="589"/>
      <c r="U5" s="589"/>
      <c r="V5" s="589"/>
      <c r="W5" s="589"/>
      <c r="X5" s="589"/>
      <c r="Y5" s="589"/>
      <c r="Z5" s="785"/>
      <c r="AA5" s="785"/>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row>
    <row r="6" spans="1:250" ht="36" customHeight="1">
      <c r="B6" s="154" t="str">
        <f>IF(Contents!$B$2=2,"Climate","Климат")</f>
        <v>Климат</v>
      </c>
      <c r="C6" s="155"/>
      <c r="D6" s="156"/>
      <c r="E6" s="157"/>
      <c r="F6" s="158"/>
      <c r="G6" s="158"/>
      <c r="H6" s="158"/>
      <c r="I6" s="159"/>
      <c r="J6" s="160"/>
      <c r="K6" s="160"/>
      <c r="L6" s="160"/>
      <c r="M6" s="160"/>
      <c r="N6" s="160"/>
      <c r="O6" s="35"/>
      <c r="P6" s="593"/>
      <c r="Q6" s="929"/>
      <c r="R6" s="593"/>
      <c r="S6" s="593"/>
      <c r="T6" s="593"/>
      <c r="U6" s="593"/>
      <c r="W6" s="593"/>
    </row>
    <row r="7" spans="1:250" ht="54.95" customHeight="1">
      <c r="B7" s="18"/>
      <c r="C7" s="19"/>
      <c r="D7" s="20">
        <v>2015</v>
      </c>
      <c r="E7" s="20">
        <v>2016</v>
      </c>
      <c r="F7" s="20">
        <v>2017</v>
      </c>
      <c r="G7" s="21">
        <v>2018</v>
      </c>
      <c r="H7" s="21">
        <v>2019</v>
      </c>
      <c r="I7" s="21">
        <v>2020</v>
      </c>
      <c r="J7" s="21">
        <v>2021</v>
      </c>
      <c r="K7" s="21">
        <v>2022</v>
      </c>
      <c r="L7" s="20">
        <v>2023</v>
      </c>
      <c r="M7" s="20">
        <v>2024</v>
      </c>
      <c r="N7" s="20">
        <v>2025</v>
      </c>
      <c r="O7" s="36"/>
      <c r="P7" s="586" t="str">
        <f>IF(Contents!$B$2=2,"Subject to external assurance in 2025","Внешний аудит в 2025 г.")</f>
        <v>Внешний аудит в 2025 г.</v>
      </c>
      <c r="Q7" s="930"/>
      <c r="R7" s="602" t="str">
        <f>IF(Contents!$B$2=2,"GRI Disclosure, including GRI 11: Oil and Gas Sector","Индексы Стандартов GRI, в т.ч. GRI 11: Oil and Gas Sector")</f>
        <v>Индексы Стандартов GRI, в т.ч. GRI 11: Oil and Gas Sector</v>
      </c>
      <c r="S7" s="602" t="str">
        <f>IF(Contents!$B$2=2,"Standards' Code SASB Oil &amp; Gas – Exploration &amp; Production 2023","Индексы Стандартов SASB Oil &amp; Gas – Exploration &amp; Production 2023")</f>
        <v>Индексы Стандартов SASB Oil &amp; Gas – Exploration &amp; Production 2023</v>
      </c>
      <c r="T7" s="602" t="str">
        <f>IF(Contents!$B$2=2,"Standards' indices IPIECA 2020","Индексы Стандартов IPIECA 2020")</f>
        <v>Индексы Стандартов IPIECA 2020</v>
      </c>
      <c r="U7" s="602" t="str">
        <f>IF(Contents!$B$2=2,"Indices of the Public Business Capital Standard","Индексы Стандарта общественного капитала бизнеса")</f>
        <v>Индексы Стандарта общественного капитала бизнеса</v>
      </c>
      <c r="V7" s="504"/>
      <c r="W7" s="586" t="str">
        <f>IF(Contents!$B$2=2,"Report scope","Границы отчетности")</f>
        <v>Границы отчетности</v>
      </c>
      <c r="X7" s="504"/>
      <c r="Y7" s="504"/>
    </row>
    <row r="8" spans="1:250" ht="20.100000000000001" customHeight="1">
      <c r="B8" s="18" t="str">
        <f>IF(Contents!$B$2=2,"Climate","Климат")</f>
        <v>Климат</v>
      </c>
      <c r="C8" s="161"/>
      <c r="D8" s="161"/>
      <c r="E8" s="161"/>
      <c r="F8" s="161"/>
      <c r="G8" s="161"/>
      <c r="H8" s="161"/>
      <c r="I8" s="161"/>
      <c r="J8" s="161"/>
      <c r="K8" s="161"/>
      <c r="L8" s="161"/>
      <c r="M8" s="161"/>
      <c r="N8" s="161"/>
      <c r="O8" s="36"/>
      <c r="P8" s="594"/>
      <c r="Q8" s="36"/>
      <c r="R8" s="594"/>
      <c r="S8" s="594"/>
      <c r="T8" s="594"/>
      <c r="U8" s="594"/>
      <c r="V8" s="594"/>
      <c r="W8" s="594"/>
      <c r="X8" s="594"/>
      <c r="Y8" s="594"/>
    </row>
    <row r="9" spans="1:250" ht="39.75" customHeight="1">
      <c r="B9" s="162" t="str">
        <f>IF(Contents!$B$2=2,"Direct greenhouse gas emissions (Scope 1)","Прямые выбросы парниковых газов (Область охвата 1)")</f>
        <v>Прямые выбросы парниковых газов (Область охвата 1)</v>
      </c>
      <c r="C9" s="42" t="str">
        <f>IF(Contents!$B$2=2,"tons of CO₂ eq.","т CO₂-экв.")</f>
        <v>т CO₂-экв.</v>
      </c>
      <c r="D9" s="239">
        <v>4400000</v>
      </c>
      <c r="E9" s="239">
        <v>6570000</v>
      </c>
      <c r="F9" s="239">
        <v>4360000</v>
      </c>
      <c r="G9" s="239">
        <v>6050000</v>
      </c>
      <c r="H9" s="239">
        <v>11114940</v>
      </c>
      <c r="I9" s="239">
        <v>9055750</v>
      </c>
      <c r="J9" s="239">
        <v>10047733</v>
      </c>
      <c r="K9" s="239">
        <v>9423227</v>
      </c>
      <c r="L9" s="239">
        <v>9482281</v>
      </c>
      <c r="M9" s="239">
        <v>9571891</v>
      </c>
      <c r="N9" s="239">
        <v>9626448.0513575245</v>
      </c>
      <c r="O9" s="869"/>
      <c r="P9" s="558" t="str">
        <f>IF(Contents!$B$2=2,"Yes","Да")</f>
        <v>Да</v>
      </c>
      <c r="Q9" s="164"/>
      <c r="R9" s="465" t="s">
        <v>49</v>
      </c>
      <c r="S9" s="465" t="s">
        <v>50</v>
      </c>
      <c r="T9" s="465" t="s">
        <v>51</v>
      </c>
      <c r="U9" s="273" t="str">
        <f>IF(Contents!$B$2=2,"PBCS 8","СОКБ 8")</f>
        <v>СОКБ 8</v>
      </c>
      <c r="W9" s="558">
        <v>2</v>
      </c>
      <c r="Y9" s="595"/>
    </row>
    <row r="10" spans="1:250" ht="25.5">
      <c r="B10" s="23" t="str">
        <f>IF(Contents!$B$2=2,"by GHG type","по виду парниковых газов")</f>
        <v>по виду парниковых газов</v>
      </c>
      <c r="C10" s="166"/>
      <c r="D10" s="537"/>
      <c r="E10" s="537"/>
      <c r="F10" s="537"/>
      <c r="G10" s="538"/>
      <c r="H10" s="539"/>
      <c r="I10" s="539"/>
      <c r="J10" s="539"/>
      <c r="K10" s="539"/>
      <c r="L10" s="539"/>
      <c r="M10" s="539"/>
      <c r="N10" s="539"/>
      <c r="O10" s="880"/>
      <c r="P10" s="558"/>
      <c r="Q10" s="164"/>
      <c r="R10" s="465" t="s">
        <v>49</v>
      </c>
      <c r="S10" s="465" t="s">
        <v>50</v>
      </c>
      <c r="T10" s="465" t="s">
        <v>51</v>
      </c>
      <c r="U10" s="590"/>
      <c r="W10" s="558"/>
      <c r="Y10" s="595"/>
    </row>
    <row r="11" spans="1:250" ht="33.75" customHeight="1">
      <c r="B11" s="167" t="str">
        <f>IF(Contents!$B$2=2,"Carbon dioxide (CO₂)","Диоксид углерода (CO2)")</f>
        <v>Диоксид углерода (CO2)</v>
      </c>
      <c r="C11" s="12" t="str">
        <f>IF(Contents!$B$2=2,"tons of CO₂ eq.","т CO₂-экв.")</f>
        <v>т CO₂-экв.</v>
      </c>
      <c r="D11" s="168" t="s">
        <v>185</v>
      </c>
      <c r="E11" s="168" t="s">
        <v>185</v>
      </c>
      <c r="F11" s="168">
        <v>4179025</v>
      </c>
      <c r="G11" s="168">
        <v>5868375</v>
      </c>
      <c r="H11" s="168">
        <v>10964905</v>
      </c>
      <c r="I11" s="168">
        <v>8840345</v>
      </c>
      <c r="J11" s="184">
        <v>9843840</v>
      </c>
      <c r="K11" s="184">
        <v>9264653</v>
      </c>
      <c r="L11" s="184">
        <v>9328493</v>
      </c>
      <c r="M11" s="184">
        <v>9414581</v>
      </c>
      <c r="N11" s="98">
        <v>9462096</v>
      </c>
      <c r="O11" s="869"/>
      <c r="P11" s="558" t="str">
        <f>IF(Contents!$B$2=2,"Yes","Да")</f>
        <v>Да</v>
      </c>
      <c r="Q11" s="164"/>
      <c r="R11" s="465"/>
      <c r="S11" s="465"/>
      <c r="T11" s="465"/>
      <c r="U11" s="590"/>
      <c r="W11" s="558">
        <v>2</v>
      </c>
      <c r="Y11" s="595"/>
    </row>
    <row r="12" spans="1:250" ht="33.75" customHeight="1">
      <c r="B12" s="167" t="str">
        <f>IF(Contents!$B$2=2,"Methane (CH4)","Метан (CH4)")</f>
        <v>Метан (CH4)</v>
      </c>
      <c r="C12" s="12" t="str">
        <f>IF(Contents!$B$2=2,"tons of CO₂ eq.","т CO₂-экв.")</f>
        <v>т CO₂-экв.</v>
      </c>
      <c r="D12" s="168" t="s">
        <v>185</v>
      </c>
      <c r="E12" s="168" t="s">
        <v>185</v>
      </c>
      <c r="F12" s="168">
        <v>180975</v>
      </c>
      <c r="G12" s="168">
        <v>181625</v>
      </c>
      <c r="H12" s="168">
        <v>150035</v>
      </c>
      <c r="I12" s="168">
        <v>215405</v>
      </c>
      <c r="J12" s="184">
        <v>203893</v>
      </c>
      <c r="K12" s="184">
        <v>158574</v>
      </c>
      <c r="L12" s="184">
        <v>153788</v>
      </c>
      <c r="M12" s="184">
        <v>157310</v>
      </c>
      <c r="N12" s="98">
        <v>164352.05135752499</v>
      </c>
      <c r="O12" s="869"/>
      <c r="P12" s="558" t="str">
        <f>IF(Contents!$B$2=2,"Yes","Да")</f>
        <v>Да</v>
      </c>
      <c r="Q12" s="164"/>
      <c r="R12" s="465"/>
      <c r="S12" s="465"/>
      <c r="T12" s="465"/>
      <c r="U12" s="590"/>
      <c r="W12" s="558">
        <v>2</v>
      </c>
      <c r="Y12" s="595"/>
    </row>
    <row r="13" spans="1:250" ht="33.75" customHeight="1">
      <c r="B13" s="170" t="str">
        <f>IF(Contents!$B$2=2,"Share of methane emissions","Доля выбросов метана")</f>
        <v>Доля выбросов метана</v>
      </c>
      <c r="C13" s="12" t="s">
        <v>0</v>
      </c>
      <c r="D13" s="168" t="s">
        <v>185</v>
      </c>
      <c r="E13" s="168" t="s">
        <v>185</v>
      </c>
      <c r="F13" s="657">
        <v>4.2</v>
      </c>
      <c r="G13" s="657">
        <v>3</v>
      </c>
      <c r="H13" s="657">
        <v>1.3</v>
      </c>
      <c r="I13" s="657">
        <v>2.4</v>
      </c>
      <c r="J13" s="657">
        <v>2</v>
      </c>
      <c r="K13" s="657">
        <v>1.7</v>
      </c>
      <c r="L13" s="657">
        <v>1.6</v>
      </c>
      <c r="M13" s="657">
        <v>1.6</v>
      </c>
      <c r="N13" s="846">
        <v>1.7</v>
      </c>
      <c r="O13" s="869"/>
      <c r="P13" s="558" t="str">
        <f>IF(Contents!$B$2=2,"Yes","Да")</f>
        <v>Да</v>
      </c>
      <c r="Q13" s="164"/>
      <c r="R13" s="465"/>
      <c r="S13" s="465"/>
      <c r="T13" s="465"/>
      <c r="U13" s="590"/>
      <c r="W13" s="558">
        <v>2</v>
      </c>
      <c r="Y13" s="595"/>
    </row>
    <row r="14" spans="1:250">
      <c r="B14" s="23" t="str">
        <f>IF(Contents!$B$2=2,"by facilities","по сегментам")</f>
        <v>по сегментам</v>
      </c>
      <c r="C14" s="166"/>
      <c r="D14" s="537"/>
      <c r="E14" s="537"/>
      <c r="F14" s="537"/>
      <c r="G14" s="538"/>
      <c r="H14" s="651"/>
      <c r="I14" s="651"/>
      <c r="J14" s="651"/>
      <c r="K14" s="651"/>
      <c r="L14" s="651"/>
      <c r="M14" s="651"/>
      <c r="N14" s="651"/>
      <c r="O14" s="781"/>
      <c r="P14" s="558"/>
      <c r="Q14" s="164"/>
      <c r="R14" s="465"/>
      <c r="S14" s="465"/>
      <c r="T14" s="465"/>
      <c r="U14" s="590"/>
      <c r="W14" s="558"/>
      <c r="Y14" s="595"/>
    </row>
    <row r="15" spans="1:250" ht="35.25" customHeight="1">
      <c r="B15" s="167" t="str">
        <f>IF(Contents!$B$2=2,"Production / Upstream facilities","Предприятия добычи")</f>
        <v>Предприятия добычи</v>
      </c>
      <c r="C15" s="12" t="str">
        <f>IF(Contents!$B$2=2,"tons of CO₂ eq.","т CO₂-экв.")</f>
        <v>т CO₂-экв.</v>
      </c>
      <c r="D15" s="168" t="s">
        <v>185</v>
      </c>
      <c r="E15" s="168" t="s">
        <v>185</v>
      </c>
      <c r="F15" s="168" t="s">
        <v>185</v>
      </c>
      <c r="G15" s="168" t="s">
        <v>185</v>
      </c>
      <c r="H15" s="671">
        <v>7494000</v>
      </c>
      <c r="I15" s="671">
        <v>5518000</v>
      </c>
      <c r="J15" s="184">
        <v>6241708</v>
      </c>
      <c r="K15" s="184">
        <v>5594684</v>
      </c>
      <c r="L15" s="184">
        <v>5587658</v>
      </c>
      <c r="M15" s="184">
        <v>5827513</v>
      </c>
      <c r="N15" s="98">
        <v>5841881</v>
      </c>
      <c r="O15" s="881"/>
      <c r="P15" s="558" t="str">
        <f>IF(Contents!$B$2=2,"Yes","Да")</f>
        <v>Да</v>
      </c>
      <c r="Q15" s="164"/>
      <c r="R15" s="465"/>
      <c r="S15" s="465"/>
      <c r="T15" s="465"/>
      <c r="U15" s="590"/>
      <c r="W15" s="558">
        <v>2</v>
      </c>
    </row>
    <row r="16" spans="1:250" ht="35.25" customHeight="1">
      <c r="B16" s="167" t="str">
        <f>IF(Contents!$B$2=2,"Processing / Downstream facilities","Предприятия переработки")</f>
        <v>Предприятия переработки</v>
      </c>
      <c r="C16" s="12" t="str">
        <f>IF(Contents!$B$2=2,"tons of CO₂ eq.","т CO₂-экв.")</f>
        <v>т CO₂-экв.</v>
      </c>
      <c r="D16" s="168" t="s">
        <v>185</v>
      </c>
      <c r="E16" s="168" t="s">
        <v>185</v>
      </c>
      <c r="F16" s="168" t="s">
        <v>185</v>
      </c>
      <c r="G16" s="168" t="s">
        <v>185</v>
      </c>
      <c r="H16" s="671">
        <v>594000</v>
      </c>
      <c r="I16" s="671">
        <v>589000</v>
      </c>
      <c r="J16" s="184">
        <v>664862.177010449</v>
      </c>
      <c r="K16" s="184">
        <v>708452</v>
      </c>
      <c r="L16" s="184">
        <v>762983</v>
      </c>
      <c r="M16" s="184">
        <v>596385</v>
      </c>
      <c r="N16" s="98">
        <v>722665</v>
      </c>
      <c r="O16" s="881"/>
      <c r="P16" s="558" t="str">
        <f>IF(Contents!$B$2=2,"Yes","Да")</f>
        <v>Да</v>
      </c>
      <c r="Q16" s="164"/>
      <c r="R16" s="465"/>
      <c r="S16" s="465"/>
      <c r="T16" s="465"/>
      <c r="U16" s="590"/>
      <c r="W16" s="558">
        <v>2</v>
      </c>
    </row>
    <row r="17" spans="1:250" ht="35.25" customHeight="1">
      <c r="B17" s="167" t="str">
        <f>IF(Contents!$B$2=2,"LNG production facilities","Производство СПГ")</f>
        <v>Производство СПГ</v>
      </c>
      <c r="C17" s="12" t="str">
        <f>IF(Contents!$B$2=2,"tons of CO₂ eq.","т CO₂-экв.")</f>
        <v>т CO₂-экв.</v>
      </c>
      <c r="D17" s="168" t="s">
        <v>185</v>
      </c>
      <c r="E17" s="168" t="s">
        <v>185</v>
      </c>
      <c r="F17" s="168" t="s">
        <v>185</v>
      </c>
      <c r="G17" s="168" t="s">
        <v>185</v>
      </c>
      <c r="H17" s="671">
        <v>2905000</v>
      </c>
      <c r="I17" s="671">
        <v>2806000</v>
      </c>
      <c r="J17" s="184">
        <v>2976624.8783199699</v>
      </c>
      <c r="K17" s="184">
        <v>3001873</v>
      </c>
      <c r="L17" s="184">
        <v>3016856</v>
      </c>
      <c r="M17" s="184">
        <v>2992514</v>
      </c>
      <c r="N17" s="98">
        <v>2931670</v>
      </c>
      <c r="O17" s="881"/>
      <c r="P17" s="558" t="str">
        <f>IF(Contents!$B$2=2,"Yes","Да")</f>
        <v>Да</v>
      </c>
      <c r="Q17" s="164"/>
      <c r="R17" s="465"/>
      <c r="S17" s="465"/>
      <c r="T17" s="465"/>
      <c r="U17" s="590"/>
      <c r="W17" s="558">
        <v>2</v>
      </c>
    </row>
    <row r="18" spans="1:250" ht="35.25" customHeight="1">
      <c r="B18" s="167" t="str">
        <f>IF(Contents!$B$2=2,"Energy service facilities","Предприятия энергосервиса")</f>
        <v>Предприятия энергосервиса</v>
      </c>
      <c r="C18" s="12" t="str">
        <f>IF(Contents!$B$2=2,"tons of CO₂ eq.","т CO₂-экв.")</f>
        <v>т CO₂-экв.</v>
      </c>
      <c r="D18" s="168" t="s">
        <v>185</v>
      </c>
      <c r="E18" s="168" t="s">
        <v>185</v>
      </c>
      <c r="F18" s="168" t="s">
        <v>185</v>
      </c>
      <c r="G18" s="168" t="s">
        <v>185</v>
      </c>
      <c r="H18" s="671">
        <v>122000</v>
      </c>
      <c r="I18" s="671">
        <v>143000</v>
      </c>
      <c r="J18" s="184">
        <v>164538</v>
      </c>
      <c r="K18" s="184">
        <v>118218</v>
      </c>
      <c r="L18" s="184">
        <v>114784</v>
      </c>
      <c r="M18" s="184">
        <v>155479</v>
      </c>
      <c r="N18" s="98">
        <v>130232</v>
      </c>
      <c r="O18" s="881"/>
      <c r="P18" s="558" t="str">
        <f>IF(Contents!$B$2=2,"Yes","Да")</f>
        <v>Да</v>
      </c>
      <c r="Q18" s="164"/>
      <c r="R18" s="465"/>
      <c r="S18" s="465"/>
      <c r="T18" s="465"/>
      <c r="U18" s="590"/>
      <c r="W18" s="558">
        <v>2</v>
      </c>
    </row>
    <row r="19" spans="1:250">
      <c r="B19" s="23" t="str">
        <f>IF(Contents!$B$2=2,"by source","по источникам")</f>
        <v>по источникам</v>
      </c>
      <c r="C19" s="166"/>
      <c r="D19" s="537"/>
      <c r="E19" s="537"/>
      <c r="F19" s="537"/>
      <c r="G19" s="538"/>
      <c r="H19" s="539"/>
      <c r="I19" s="658"/>
      <c r="J19" s="651"/>
      <c r="K19" s="651"/>
      <c r="L19" s="651"/>
      <c r="M19" s="651"/>
      <c r="N19" s="651"/>
      <c r="O19" s="365"/>
      <c r="P19" s="595"/>
      <c r="Q19" s="164"/>
      <c r="R19" s="493" t="s">
        <v>53</v>
      </c>
      <c r="S19" s="465" t="s">
        <v>54</v>
      </c>
      <c r="T19" s="465" t="s">
        <v>55</v>
      </c>
      <c r="U19" s="590"/>
      <c r="W19" s="558"/>
    </row>
    <row r="20" spans="1:250" ht="35.25" customHeight="1">
      <c r="B20" s="171" t="str">
        <f>IF(Contents!$B$2=2,"Stationary combustion, including flaring","От стационарного сжигания, включая сжигание на факелах")</f>
        <v>От стационарного сжигания, включая сжигание на факелах</v>
      </c>
      <c r="C20" s="12" t="str">
        <f>IF(Contents!$B$2=2,"tons of CO₂ eq.","т CO₂-экв.")</f>
        <v>т CO₂-экв.</v>
      </c>
      <c r="D20" s="168" t="s">
        <v>185</v>
      </c>
      <c r="E20" s="168" t="s">
        <v>185</v>
      </c>
      <c r="F20" s="168" t="s">
        <v>185</v>
      </c>
      <c r="G20" s="168" t="s">
        <v>185</v>
      </c>
      <c r="H20" s="168" t="s">
        <v>185</v>
      </c>
      <c r="I20" s="671">
        <v>8852968</v>
      </c>
      <c r="J20" s="184">
        <v>9822746</v>
      </c>
      <c r="K20" s="184">
        <v>9193444</v>
      </c>
      <c r="L20" s="184">
        <v>9202342</v>
      </c>
      <c r="M20" s="184">
        <v>9306074</v>
      </c>
      <c r="N20" s="98">
        <v>9369322</v>
      </c>
      <c r="O20" s="881"/>
      <c r="P20" s="558" t="str">
        <f>IF(Contents!$B$2=2,"Yes","Да")</f>
        <v>Да</v>
      </c>
      <c r="Q20" s="164"/>
      <c r="R20" s="465"/>
      <c r="S20" s="465"/>
      <c r="T20" s="465"/>
      <c r="U20" s="590"/>
      <c r="W20" s="558">
        <v>2</v>
      </c>
    </row>
    <row r="21" spans="1:250" ht="35.25" customHeight="1">
      <c r="B21" s="171" t="str">
        <f>IF(Contents!$B$2=2,"Fugitive emissions","Фугитивные выбросы")</f>
        <v>Фугитивные выбросы</v>
      </c>
      <c r="C21" s="12" t="str">
        <f>IF(Contents!$B$2=2,"tons of CO₂ eq.","т CO₂-экв.")</f>
        <v>т CO₂-экв.</v>
      </c>
      <c r="D21" s="168" t="s">
        <v>185</v>
      </c>
      <c r="E21" s="168" t="s">
        <v>185</v>
      </c>
      <c r="F21" s="168" t="s">
        <v>185</v>
      </c>
      <c r="G21" s="168" t="s">
        <v>185</v>
      </c>
      <c r="H21" s="168" t="s">
        <v>185</v>
      </c>
      <c r="I21" s="671">
        <v>167000</v>
      </c>
      <c r="J21" s="184">
        <v>196675</v>
      </c>
      <c r="K21" s="184">
        <v>192218</v>
      </c>
      <c r="L21" s="184">
        <v>234536</v>
      </c>
      <c r="M21" s="184">
        <v>228564</v>
      </c>
      <c r="N21" s="98">
        <v>214215</v>
      </c>
      <c r="O21" s="881"/>
      <c r="P21" s="558" t="str">
        <f>IF(Contents!$B$2=2,"Yes","Да")</f>
        <v>Да</v>
      </c>
      <c r="Q21" s="164"/>
      <c r="R21" s="465"/>
      <c r="S21" s="465"/>
      <c r="T21" s="465"/>
      <c r="U21" s="590"/>
      <c r="W21" s="558">
        <v>2</v>
      </c>
    </row>
    <row r="22" spans="1:250" ht="35.25" customHeight="1">
      <c r="B22" s="171" t="str">
        <f>IF(Contents!$B$2=2,"Petrochemical production","Нефтехимическое производство")</f>
        <v>Нефтехимическое производство</v>
      </c>
      <c r="C22" s="12" t="str">
        <f>IF(Contents!$B$2=2,"tons of CO₂ eq.","т CO₂-экв.")</f>
        <v>т CO₂-экв.</v>
      </c>
      <c r="D22" s="168" t="s">
        <v>185</v>
      </c>
      <c r="E22" s="168" t="s">
        <v>185</v>
      </c>
      <c r="F22" s="168" t="s">
        <v>185</v>
      </c>
      <c r="G22" s="168" t="s">
        <v>185</v>
      </c>
      <c r="H22" s="168" t="s">
        <v>185</v>
      </c>
      <c r="I22" s="671">
        <v>34000</v>
      </c>
      <c r="J22" s="184">
        <v>28312</v>
      </c>
      <c r="K22" s="184">
        <v>24773</v>
      </c>
      <c r="L22" s="184">
        <v>26741</v>
      </c>
      <c r="M22" s="184">
        <v>22407</v>
      </c>
      <c r="N22" s="98">
        <v>22195</v>
      </c>
      <c r="O22" s="881"/>
      <c r="P22" s="558" t="str">
        <f>IF(Contents!$B$2=2,"Yes","Да")</f>
        <v>Да</v>
      </c>
      <c r="Q22" s="164"/>
      <c r="R22" s="465"/>
      <c r="S22" s="465"/>
      <c r="T22" s="465"/>
      <c r="U22" s="590"/>
      <c r="W22" s="558">
        <v>2</v>
      </c>
    </row>
    <row r="23" spans="1:250" ht="35.25" customHeight="1">
      <c r="B23" s="171" t="str">
        <f>IF(Contents!$B$2=2,"Transport","Транспорт")</f>
        <v>Транспорт</v>
      </c>
      <c r="C23" s="12" t="str">
        <f>IF(Contents!$B$2=2,"tons of CO₂ eq.","т CO₂-экв.")</f>
        <v>т CO₂-экв.</v>
      </c>
      <c r="D23" s="168" t="s">
        <v>185</v>
      </c>
      <c r="E23" s="168" t="s">
        <v>185</v>
      </c>
      <c r="F23" s="168" t="s">
        <v>185</v>
      </c>
      <c r="G23" s="168" t="s">
        <v>185</v>
      </c>
      <c r="H23" s="168" t="s">
        <v>185</v>
      </c>
      <c r="I23" s="168" t="s">
        <v>185</v>
      </c>
      <c r="J23" s="168" t="s">
        <v>185</v>
      </c>
      <c r="K23" s="184">
        <v>12792</v>
      </c>
      <c r="L23" s="184">
        <v>18662</v>
      </c>
      <c r="M23" s="184">
        <v>14846</v>
      </c>
      <c r="N23" s="98">
        <v>20716</v>
      </c>
      <c r="O23" s="881"/>
      <c r="P23" s="558" t="str">
        <f>IF(Contents!$B$2=2,"Yes","Да")</f>
        <v>Да</v>
      </c>
      <c r="Q23" s="164"/>
      <c r="R23" s="465"/>
      <c r="S23" s="465"/>
      <c r="T23" s="465"/>
      <c r="U23" s="590"/>
      <c r="W23" s="558">
        <v>2</v>
      </c>
    </row>
    <row r="24" spans="1:250">
      <c r="B24" s="172"/>
      <c r="C24" s="173"/>
      <c r="D24" s="10"/>
      <c r="E24" s="10"/>
      <c r="F24" s="169"/>
      <c r="G24" s="169"/>
      <c r="H24" s="169"/>
      <c r="I24" s="169"/>
      <c r="J24" s="169"/>
      <c r="K24" s="169"/>
      <c r="L24" s="169"/>
      <c r="M24" s="169"/>
      <c r="N24" s="169"/>
      <c r="O24" s="365"/>
      <c r="P24" s="595"/>
      <c r="Q24" s="164"/>
      <c r="R24" s="465"/>
      <c r="S24" s="465"/>
      <c r="T24" s="465"/>
      <c r="U24" s="590"/>
      <c r="W24" s="558"/>
    </row>
    <row r="25" spans="1:250" s="1" customFormat="1" ht="50.1" customHeight="1">
      <c r="A25" s="851"/>
      <c r="B25" s="198" t="str">
        <f>IF(Contents!$B$2=2,"Direct greenhouse gas emissions (Scope 1) by the Company's enterprises located in the Arctic zone","Прямые выбросы в атмосферу парниковых газов (Область охвата 1) по предприятиям Компании, находящимся в Арктической зоне")</f>
        <v>Прямые выбросы в атмосферу парниковых газов (Область охвата 1) по предприятиям Компании, находящимся в Арктической зоне</v>
      </c>
      <c r="C25" s="12" t="str">
        <f>IF(Contents!$B$2=2,"tons of CO₂ eq.","т CO₂-экв.")</f>
        <v>т CO₂-экв.</v>
      </c>
      <c r="D25" s="168" t="s">
        <v>185</v>
      </c>
      <c r="E25" s="168" t="s">
        <v>185</v>
      </c>
      <c r="F25" s="168" t="s">
        <v>185</v>
      </c>
      <c r="G25" s="168" t="s">
        <v>185</v>
      </c>
      <c r="H25" s="168" t="s">
        <v>185</v>
      </c>
      <c r="I25" s="168" t="s">
        <v>185</v>
      </c>
      <c r="J25" s="168" t="s">
        <v>185</v>
      </c>
      <c r="K25" s="168" t="s">
        <v>185</v>
      </c>
      <c r="L25" s="10">
        <v>8941868</v>
      </c>
      <c r="M25" s="10">
        <v>9177807</v>
      </c>
      <c r="N25" s="542">
        <v>9179800</v>
      </c>
      <c r="O25" s="881"/>
      <c r="P25" s="558"/>
      <c r="Q25" s="164"/>
      <c r="R25" s="590"/>
      <c r="S25" s="590"/>
      <c r="T25" s="590"/>
      <c r="U25" s="590"/>
      <c r="V25" s="589"/>
      <c r="W25" s="558"/>
      <c r="X25" s="589"/>
      <c r="Y25" s="589"/>
      <c r="Z25" s="785"/>
      <c r="AA25" s="785"/>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row>
    <row r="26" spans="1:250" ht="57.75" customHeight="1">
      <c r="B26" s="174" t="str">
        <f>IF(Contents!$B$2=2,"Indirect greenhouse gas emissions related to energy (Scope 2)","Косвенные энергетические выбросы парниковых газов (Область охвата 2)")</f>
        <v>Косвенные энергетические выбросы парниковых газов (Область охвата 2)</v>
      </c>
      <c r="C26" s="42" t="str">
        <f>IF(Contents!$B$2=2,"tons of CO₂ eq.","т CO₂-экв.")</f>
        <v>т CO₂-экв.</v>
      </c>
      <c r="D26" s="239">
        <v>184500</v>
      </c>
      <c r="E26" s="239">
        <v>181900</v>
      </c>
      <c r="F26" s="239">
        <v>191500</v>
      </c>
      <c r="G26" s="239">
        <v>199700</v>
      </c>
      <c r="H26" s="239">
        <v>204800</v>
      </c>
      <c r="I26" s="239">
        <v>157356</v>
      </c>
      <c r="J26" s="239">
        <v>168739</v>
      </c>
      <c r="K26" s="239">
        <v>166524</v>
      </c>
      <c r="L26" s="239">
        <v>173457</v>
      </c>
      <c r="M26" s="239">
        <v>178108</v>
      </c>
      <c r="N26" s="239">
        <v>195965</v>
      </c>
      <c r="O26" s="881"/>
      <c r="P26" s="558" t="str">
        <f>IF(Contents!$B$2=2,"Yes","Да")</f>
        <v>Да</v>
      </c>
      <c r="Q26" s="164"/>
      <c r="R26" s="465" t="s">
        <v>56</v>
      </c>
      <c r="S26" s="465"/>
      <c r="T26" s="465" t="s">
        <v>51</v>
      </c>
      <c r="U26" s="273" t="str">
        <f>IF(Contents!$B$2=2,"PBCS 8","СОКБ 8")</f>
        <v>СОКБ 8</v>
      </c>
      <c r="W26" s="558">
        <v>2</v>
      </c>
    </row>
    <row r="27" spans="1:250" ht="17.45" customHeight="1">
      <c r="B27" s="23" t="str">
        <f>IF(Contents!$B$2=2,"by facilities","по сегментам")</f>
        <v>по сегментам</v>
      </c>
      <c r="C27" s="176"/>
      <c r="D27" s="540"/>
      <c r="E27" s="540"/>
      <c r="F27" s="540"/>
      <c r="G27" s="540"/>
      <c r="H27" s="540"/>
      <c r="I27" s="540"/>
      <c r="J27" s="540"/>
      <c r="K27" s="540"/>
      <c r="L27" s="540"/>
      <c r="M27" s="540"/>
      <c r="N27" s="540"/>
      <c r="O27" s="880"/>
      <c r="P27" s="39"/>
      <c r="Q27" s="164"/>
      <c r="R27" s="465"/>
      <c r="S27" s="465"/>
      <c r="T27" s="465"/>
      <c r="U27" s="590"/>
      <c r="W27" s="39"/>
      <c r="Y27" s="595"/>
    </row>
    <row r="28" spans="1:250" s="1" customFormat="1" ht="29.25" customHeight="1">
      <c r="A28" s="851"/>
      <c r="B28" s="177" t="str">
        <f>IF(Contents!$B$2=2,"Production / Upstream facilities","Предприятия добычи")</f>
        <v>Предприятия добычи</v>
      </c>
      <c r="C28" s="12" t="str">
        <f>IF(Contents!$B$2=2,"tons of CO₂ eq.","т CO₂-экв.")</f>
        <v>т CO₂-экв.</v>
      </c>
      <c r="D28" s="168" t="s">
        <v>185</v>
      </c>
      <c r="E28" s="168" t="s">
        <v>185</v>
      </c>
      <c r="F28" s="168" t="s">
        <v>185</v>
      </c>
      <c r="G28" s="168" t="s">
        <v>185</v>
      </c>
      <c r="H28" s="168" t="s">
        <v>185</v>
      </c>
      <c r="I28" s="541">
        <v>99136</v>
      </c>
      <c r="J28" s="541">
        <v>109718</v>
      </c>
      <c r="K28" s="541">
        <v>104770</v>
      </c>
      <c r="L28" s="184">
        <v>105730</v>
      </c>
      <c r="M28" s="184">
        <v>108305</v>
      </c>
      <c r="N28" s="542">
        <v>118537</v>
      </c>
      <c r="O28" s="881"/>
      <c r="P28" s="558" t="str">
        <f>IF(Contents!$B$2=2,"Yes","Да")</f>
        <v>Да</v>
      </c>
      <c r="Q28" s="164"/>
      <c r="R28" s="465"/>
      <c r="S28" s="465"/>
      <c r="T28" s="465"/>
      <c r="U28" s="590"/>
      <c r="V28" s="589"/>
      <c r="W28" s="558">
        <v>2</v>
      </c>
      <c r="X28" s="589"/>
      <c r="Y28" s="595"/>
      <c r="Z28" s="785"/>
      <c r="AA28" s="785"/>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row>
    <row r="29" spans="1:250" s="1" customFormat="1" ht="29.25" customHeight="1">
      <c r="A29" s="851"/>
      <c r="B29" s="177" t="str">
        <f>IF(Contents!$B$2=2,"Processing / Downstream facilities","Предприятия переработки")</f>
        <v>Предприятия переработки</v>
      </c>
      <c r="C29" s="12" t="str">
        <f>IF(Contents!$B$2=2,"tons of CO₂ eq.","т CO₂-экв.")</f>
        <v>т CO₂-экв.</v>
      </c>
      <c r="D29" s="168" t="s">
        <v>185</v>
      </c>
      <c r="E29" s="168" t="s">
        <v>185</v>
      </c>
      <c r="F29" s="168" t="s">
        <v>185</v>
      </c>
      <c r="G29" s="168" t="s">
        <v>185</v>
      </c>
      <c r="H29" s="168" t="s">
        <v>185</v>
      </c>
      <c r="I29" s="541">
        <v>46926</v>
      </c>
      <c r="J29" s="541">
        <v>51678</v>
      </c>
      <c r="K29" s="541">
        <v>53030</v>
      </c>
      <c r="L29" s="184">
        <v>58751</v>
      </c>
      <c r="M29" s="184">
        <v>61089</v>
      </c>
      <c r="N29" s="542">
        <v>61368</v>
      </c>
      <c r="O29" s="881"/>
      <c r="P29" s="558" t="str">
        <f>IF(Contents!$B$2=2,"Yes","Да")</f>
        <v>Да</v>
      </c>
      <c r="Q29" s="164"/>
      <c r="R29" s="465"/>
      <c r="S29" s="465"/>
      <c r="T29" s="465"/>
      <c r="U29" s="590"/>
      <c r="V29" s="589"/>
      <c r="W29" s="558">
        <v>2</v>
      </c>
      <c r="X29" s="589"/>
      <c r="Y29" s="595"/>
      <c r="Z29" s="785"/>
      <c r="AA29" s="785"/>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row>
    <row r="30" spans="1:250" s="1" customFormat="1" ht="29.25" customHeight="1">
      <c r="A30" s="851"/>
      <c r="B30" s="177" t="str">
        <f>IF(Contents!$B$2=2,"LNG production facilities","Производство СПГ")</f>
        <v>Производство СПГ</v>
      </c>
      <c r="C30" s="12" t="str">
        <f>IF(Contents!$B$2=2,"tons of CO₂ eq.","т CO₂-экв.")</f>
        <v>т CO₂-экв.</v>
      </c>
      <c r="D30" s="168" t="s">
        <v>185</v>
      </c>
      <c r="E30" s="168" t="s">
        <v>185</v>
      </c>
      <c r="F30" s="168" t="s">
        <v>185</v>
      </c>
      <c r="G30" s="168" t="s">
        <v>185</v>
      </c>
      <c r="H30" s="168" t="s">
        <v>185</v>
      </c>
      <c r="I30" s="541">
        <v>1636</v>
      </c>
      <c r="J30" s="541">
        <v>1867</v>
      </c>
      <c r="K30" s="541">
        <v>1698</v>
      </c>
      <c r="L30" s="184">
        <v>1820</v>
      </c>
      <c r="M30" s="184">
        <v>2412</v>
      </c>
      <c r="N30" s="542">
        <v>11700</v>
      </c>
      <c r="O30" s="881"/>
      <c r="P30" s="558" t="str">
        <f>IF(Contents!$B$2=2,"Yes","Да")</f>
        <v>Да</v>
      </c>
      <c r="Q30" s="164"/>
      <c r="R30" s="465"/>
      <c r="S30" s="465"/>
      <c r="T30" s="465"/>
      <c r="U30" s="590"/>
      <c r="V30" s="589"/>
      <c r="W30" s="558">
        <v>2</v>
      </c>
      <c r="X30" s="589"/>
      <c r="Y30" s="595"/>
      <c r="Z30" s="785"/>
      <c r="AA30" s="785"/>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row>
    <row r="31" spans="1:250" s="1" customFormat="1" ht="29.25" customHeight="1">
      <c r="A31" s="851"/>
      <c r="B31" s="177" t="str">
        <f>IF(Contents!$B$2=2,"Energy service facilities","Предприятия энергосервиса")</f>
        <v>Предприятия энергосервиса</v>
      </c>
      <c r="C31" s="12" t="str">
        <f>IF(Contents!$B$2=2,"tons of CO₂ eq.","т CO₂-экв.")</f>
        <v>т CO₂-экв.</v>
      </c>
      <c r="D31" s="168" t="s">
        <v>185</v>
      </c>
      <c r="E31" s="168" t="s">
        <v>185</v>
      </c>
      <c r="F31" s="168" t="s">
        <v>185</v>
      </c>
      <c r="G31" s="168" t="s">
        <v>185</v>
      </c>
      <c r="H31" s="168" t="s">
        <v>185</v>
      </c>
      <c r="I31" s="541">
        <v>9658</v>
      </c>
      <c r="J31" s="541">
        <v>5476</v>
      </c>
      <c r="K31" s="541">
        <v>7026</v>
      </c>
      <c r="L31" s="184">
        <v>7156</v>
      </c>
      <c r="M31" s="184">
        <v>6302</v>
      </c>
      <c r="N31" s="542">
        <v>4360</v>
      </c>
      <c r="O31" s="881"/>
      <c r="P31" s="558" t="str">
        <f>IF(Contents!$B$2=2,"Yes","Да")</f>
        <v>Да</v>
      </c>
      <c r="Q31" s="164"/>
      <c r="R31" s="465"/>
      <c r="S31" s="465"/>
      <c r="T31" s="465"/>
      <c r="U31" s="590"/>
      <c r="V31" s="589"/>
      <c r="W31" s="558">
        <v>2</v>
      </c>
      <c r="X31" s="589"/>
      <c r="Y31" s="595"/>
      <c r="Z31" s="785"/>
      <c r="AA31" s="785"/>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row>
    <row r="32" spans="1:250" s="1" customFormat="1">
      <c r="A32" s="851"/>
      <c r="B32" s="179"/>
      <c r="C32" s="180"/>
      <c r="D32" s="543"/>
      <c r="E32" s="543"/>
      <c r="F32" s="543"/>
      <c r="G32" s="543"/>
      <c r="H32" s="543"/>
      <c r="I32" s="543"/>
      <c r="J32" s="543"/>
      <c r="K32" s="543"/>
      <c r="L32" s="543"/>
      <c r="M32" s="543"/>
      <c r="N32" s="543"/>
      <c r="O32" s="781"/>
      <c r="P32" s="39"/>
      <c r="Q32" s="164"/>
      <c r="R32" s="465"/>
      <c r="S32" s="465"/>
      <c r="T32" s="465"/>
      <c r="U32" s="590"/>
      <c r="V32" s="589"/>
      <c r="W32" s="39"/>
      <c r="X32" s="589"/>
      <c r="Y32" s="595"/>
      <c r="Z32" s="785"/>
      <c r="AA32" s="785"/>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row>
    <row r="33" spans="1:250" s="1" customFormat="1" ht="41.45" customHeight="1">
      <c r="A33" s="851"/>
      <c r="B33" s="198" t="str">
        <f>IF(Contents!$B$2=2,"Indirect greenhouse gas emissions related to energy (Scope 2) for the Company's enterprises located in the Arctic zone","Косвенные выбросы в атмосферу парниковых газов (Область охвата 2) по предприятиям Компании, находящимся в Арктической зоне")</f>
        <v>Косвенные выбросы в атмосферу парниковых газов (Область охвата 2) по предприятиям Компании, находящимся в Арктической зоне</v>
      </c>
      <c r="C33" s="12" t="str">
        <f>IF(Contents!$B$2=2,"tons of CO₂ eq.","т CO₂-экв.")</f>
        <v>т CO₂-экв.</v>
      </c>
      <c r="D33" s="168" t="s">
        <v>185</v>
      </c>
      <c r="E33" s="168" t="s">
        <v>185</v>
      </c>
      <c r="F33" s="168" t="s">
        <v>185</v>
      </c>
      <c r="G33" s="168" t="s">
        <v>185</v>
      </c>
      <c r="H33" s="168" t="s">
        <v>185</v>
      </c>
      <c r="I33" s="168" t="s">
        <v>185</v>
      </c>
      <c r="J33" s="168" t="s">
        <v>185</v>
      </c>
      <c r="K33" s="168" t="s">
        <v>185</v>
      </c>
      <c r="L33" s="10">
        <v>152698</v>
      </c>
      <c r="M33" s="10">
        <v>154495</v>
      </c>
      <c r="N33" s="542">
        <v>175024</v>
      </c>
      <c r="O33" s="365"/>
      <c r="P33" s="558" t="str">
        <f>IF(Contents!$B$2=2,"No","Нет")</f>
        <v>Нет</v>
      </c>
      <c r="Q33" s="164"/>
      <c r="R33" s="590"/>
      <c r="S33" s="590"/>
      <c r="T33" s="590"/>
      <c r="U33" s="590"/>
      <c r="V33" s="589"/>
      <c r="W33" s="558">
        <v>2</v>
      </c>
      <c r="X33" s="589"/>
      <c r="Y33" s="589"/>
      <c r="Z33" s="785"/>
      <c r="AA33" s="785"/>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row>
    <row r="34" spans="1:250" s="1" customFormat="1">
      <c r="A34" s="851"/>
      <c r="B34" s="25" t="str">
        <f>IF(Contents!$B$2=2,"Notes:","Примечания:")</f>
        <v>Примечания:</v>
      </c>
      <c r="C34" s="180"/>
      <c r="D34" s="543"/>
      <c r="E34" s="543"/>
      <c r="F34" s="543"/>
      <c r="G34" s="543"/>
      <c r="H34" s="543"/>
      <c r="I34" s="543"/>
      <c r="J34" s="543"/>
      <c r="K34" s="543"/>
      <c r="L34" s="543"/>
      <c r="M34" s="543"/>
      <c r="N34" s="543"/>
      <c r="O34" s="781"/>
      <c r="P34" s="39"/>
      <c r="Q34" s="29"/>
      <c r="R34" s="465"/>
      <c r="S34" s="465"/>
      <c r="T34" s="465"/>
      <c r="U34" s="590"/>
      <c r="V34" s="589"/>
      <c r="W34" s="39"/>
      <c r="X34" s="589"/>
      <c r="Y34" s="595"/>
      <c r="Z34" s="785"/>
      <c r="AA34" s="785"/>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row>
    <row r="35" spans="1:250" s="1" customFormat="1">
      <c r="A35" s="851"/>
      <c r="B35" s="26" t="str">
        <f>IF(Contents!$B$2=2, C36, B36)</f>
        <v>Расчет косвенных энергетических выбросов (область охвата 2) произведен по методу, основанному на местоположении. Данный метод отражает среднюю интенсивность выбросов в сетях по региону, из которых осуществляется потребление электроэнергии.
Расчет произведен в соответствии с методологией «Концепция расчета и публикации коэффициентов выбросов парниковых газов энергосистемы РФ». Данная методология была разработана в 2022 году Ассоциацией «НП Совет рынка» и АО «АТС» и получила международное заключение о валидации.</v>
      </c>
      <c r="C35" s="180"/>
      <c r="D35" s="543"/>
      <c r="E35" s="543"/>
      <c r="F35" s="543"/>
      <c r="G35" s="543"/>
      <c r="H35" s="543"/>
      <c r="I35" s="543"/>
      <c r="J35" s="543"/>
      <c r="K35" s="543"/>
      <c r="L35" s="543"/>
      <c r="M35" s="543"/>
      <c r="N35" s="543"/>
      <c r="O35" s="781"/>
      <c r="P35" s="39"/>
      <c r="Q35" s="29"/>
      <c r="R35" s="465"/>
      <c r="S35" s="465"/>
      <c r="T35" s="465"/>
      <c r="U35" s="590"/>
      <c r="V35" s="589"/>
      <c r="W35" s="39"/>
      <c r="X35" s="589"/>
      <c r="Y35" s="595"/>
      <c r="Z35" s="785"/>
      <c r="AA35" s="785"/>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row>
    <row r="36" spans="1:250" s="1" customFormat="1" ht="20.100000000000001" customHeight="1">
      <c r="A36" s="851"/>
      <c r="B36" s="113" t="s">
        <v>8</v>
      </c>
      <c r="C36" s="142" t="s">
        <v>57</v>
      </c>
      <c r="D36" s="543"/>
      <c r="E36" s="543"/>
      <c r="F36" s="543"/>
      <c r="G36" s="543"/>
      <c r="H36" s="543"/>
      <c r="I36" s="543"/>
      <c r="J36" s="543"/>
      <c r="K36" s="543"/>
      <c r="L36" s="543"/>
      <c r="M36" s="543"/>
      <c r="N36" s="543"/>
      <c r="O36" s="781"/>
      <c r="P36" s="39"/>
      <c r="Q36" s="29"/>
      <c r="R36" s="494"/>
      <c r="S36" s="494"/>
      <c r="T36" s="494"/>
      <c r="U36" s="590"/>
      <c r="V36" s="589"/>
      <c r="W36" s="39"/>
      <c r="X36" s="589"/>
      <c r="Y36" s="596"/>
      <c r="Z36" s="785"/>
      <c r="AA36" s="785"/>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row>
    <row r="37" spans="1:250" ht="50.25" customHeight="1">
      <c r="B37" s="181" t="str">
        <f>IF(Contents!$B$2=2,"Other indirect greenhouse gas emissions (Scope 3)", "Прочие косвенные выбросы парниковых газов (Область охвата 3)")</f>
        <v>Прочие косвенные выбросы парниковых газов (Область охвата 3)</v>
      </c>
      <c r="C37" s="42" t="str">
        <f>IF(Contents!$B$2=2,"tons of CO₂ eq.","т CO₂-экв.")</f>
        <v>т CO₂-экв.</v>
      </c>
      <c r="D37" s="182" t="s">
        <v>185</v>
      </c>
      <c r="E37" s="182" t="s">
        <v>185</v>
      </c>
      <c r="F37" s="182" t="s">
        <v>185</v>
      </c>
      <c r="G37" s="182" t="s">
        <v>185</v>
      </c>
      <c r="H37" s="182" t="s">
        <v>185</v>
      </c>
      <c r="I37" s="239">
        <v>173250940</v>
      </c>
      <c r="J37" s="239">
        <v>177815393</v>
      </c>
      <c r="K37" s="239">
        <v>181327829</v>
      </c>
      <c r="L37" s="239">
        <v>176396592</v>
      </c>
      <c r="M37" s="239">
        <v>181657502</v>
      </c>
      <c r="N37" s="239">
        <v>181098265</v>
      </c>
      <c r="O37" s="881"/>
      <c r="P37" s="558" t="str">
        <f>IF(Contents!$B$2=2,"Yes","Да")</f>
        <v>Да</v>
      </c>
      <c r="Q37" s="29"/>
      <c r="R37" s="465" t="s">
        <v>58</v>
      </c>
      <c r="S37" s="465"/>
      <c r="T37" s="465" t="s">
        <v>51</v>
      </c>
      <c r="U37" s="590"/>
      <c r="W37" s="558">
        <v>2</v>
      </c>
      <c r="Y37" s="595"/>
    </row>
    <row r="38" spans="1:250" ht="25.5">
      <c r="B38" s="23" t="str">
        <f>IF(Contents!$B$2=2,"by category"," по категориям")</f>
        <v xml:space="preserve"> по категориям</v>
      </c>
      <c r="C38" s="176"/>
      <c r="D38" s="540"/>
      <c r="E38" s="540"/>
      <c r="F38" s="540"/>
      <c r="G38" s="540"/>
      <c r="H38" s="540"/>
      <c r="I38" s="540"/>
      <c r="J38" s="540"/>
      <c r="K38" s="540"/>
      <c r="L38" s="540"/>
      <c r="M38" s="540"/>
      <c r="N38" s="540"/>
      <c r="O38" s="781"/>
      <c r="P38" s="39"/>
      <c r="Q38" s="29"/>
      <c r="R38" s="465" t="s">
        <v>58</v>
      </c>
      <c r="S38" s="493"/>
      <c r="T38" s="590"/>
      <c r="U38" s="590"/>
      <c r="V38" s="597"/>
      <c r="W38" s="39"/>
      <c r="X38" s="597"/>
      <c r="Y38" s="595"/>
    </row>
    <row r="39" spans="1:250" s="1" customFormat="1" ht="39.75" customHeight="1">
      <c r="A39" s="851"/>
      <c r="B39" s="183" t="str">
        <f>IF(Contents!$B$2=2,"Category 11 - Use of finished products","Категория 11 - использование готовой продукции")</f>
        <v>Категория 11 - использование готовой продукции</v>
      </c>
      <c r="C39" s="12" t="str">
        <f>IF(Contents!$B$2=2,"tons of CO₂ eq.","т CO₂-экв.")</f>
        <v>т CO₂-экв.</v>
      </c>
      <c r="D39" s="168" t="s">
        <v>185</v>
      </c>
      <c r="E39" s="168" t="s">
        <v>185</v>
      </c>
      <c r="F39" s="168" t="s">
        <v>185</v>
      </c>
      <c r="G39" s="168" t="s">
        <v>185</v>
      </c>
      <c r="H39" s="168" t="s">
        <v>185</v>
      </c>
      <c r="I39" s="184">
        <v>173250940</v>
      </c>
      <c r="J39" s="10">
        <v>177815393</v>
      </c>
      <c r="K39" s="10">
        <v>174911650</v>
      </c>
      <c r="L39" s="10">
        <v>170030384</v>
      </c>
      <c r="M39" s="10">
        <v>174331692</v>
      </c>
      <c r="N39" s="542">
        <v>173883832</v>
      </c>
      <c r="O39" s="881"/>
      <c r="P39" s="558" t="str">
        <f>IF(Contents!$B$2=2,"Yes","Да")</f>
        <v>Да</v>
      </c>
      <c r="Q39" s="29"/>
      <c r="R39" s="590"/>
      <c r="S39" s="590"/>
      <c r="T39" s="590"/>
      <c r="U39" s="590"/>
      <c r="V39" s="597"/>
      <c r="W39" s="558">
        <v>2</v>
      </c>
      <c r="X39" s="597"/>
      <c r="Y39" s="595"/>
      <c r="Z39" s="785"/>
      <c r="AA39" s="785"/>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row>
    <row r="40" spans="1:250" s="1" customFormat="1" ht="39.75" customHeight="1">
      <c r="A40" s="851"/>
      <c r="B40" s="183" t="str">
        <f>IF(Contents!$B$2=2,"Category 9 - downstream transportation and distribution (pipe gas)","Категория 9 - транспортировка и доставка готовой продукции (трубного газа)")</f>
        <v>Категория 9 - транспортировка и доставка готовой продукции (трубного газа)</v>
      </c>
      <c r="C40" s="12" t="str">
        <f>IF(Contents!$B$2=2,"tons of CO₂ eq.","т CO₂-экв.")</f>
        <v>т CO₂-экв.</v>
      </c>
      <c r="D40" s="168" t="s">
        <v>185</v>
      </c>
      <c r="E40" s="168" t="s">
        <v>185</v>
      </c>
      <c r="F40" s="168" t="s">
        <v>185</v>
      </c>
      <c r="G40" s="168" t="s">
        <v>185</v>
      </c>
      <c r="H40" s="168" t="s">
        <v>185</v>
      </c>
      <c r="I40" s="168" t="s">
        <v>185</v>
      </c>
      <c r="J40" s="168" t="s">
        <v>185</v>
      </c>
      <c r="K40" s="10">
        <v>6416179</v>
      </c>
      <c r="L40" s="10">
        <v>6366208</v>
      </c>
      <c r="M40" s="10">
        <v>7088180</v>
      </c>
      <c r="N40" s="542">
        <v>6964665</v>
      </c>
      <c r="O40" s="881"/>
      <c r="P40" s="558" t="str">
        <f>IF(Contents!$B$2=2,"Yes","Да")</f>
        <v>Да</v>
      </c>
      <c r="Q40" s="29"/>
      <c r="R40" s="590"/>
      <c r="S40" s="590"/>
      <c r="T40" s="590"/>
      <c r="U40" s="590"/>
      <c r="V40" s="589"/>
      <c r="W40" s="558">
        <v>2</v>
      </c>
      <c r="X40" s="589"/>
      <c r="Y40" s="589"/>
      <c r="Z40" s="785"/>
      <c r="AA40" s="785"/>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row>
    <row r="41" spans="1:250" s="1" customFormat="1" ht="39.75" customHeight="1">
      <c r="A41" s="851"/>
      <c r="B41" s="183" t="str">
        <f>IF(Contents!$B$2=2,"Category 4 - upstream transportation and distribution","Категория 4 - транспортировка сырья и приобретенных товаров")</f>
        <v>Категория 4 - транспортировка сырья и приобретенных товаров</v>
      </c>
      <c r="C41" s="12" t="str">
        <f>IF(Contents!$B$2=2,"tons of CO₂ eq.","т CO₂-экв.")</f>
        <v>т CO₂-экв.</v>
      </c>
      <c r="D41" s="168" t="s">
        <v>185</v>
      </c>
      <c r="E41" s="168" t="s">
        <v>185</v>
      </c>
      <c r="F41" s="168" t="s">
        <v>185</v>
      </c>
      <c r="G41" s="168" t="s">
        <v>185</v>
      </c>
      <c r="H41" s="168" t="s">
        <v>185</v>
      </c>
      <c r="I41" s="168" t="s">
        <v>185</v>
      </c>
      <c r="J41" s="168" t="s">
        <v>185</v>
      </c>
      <c r="K41" s="168" t="s">
        <v>185</v>
      </c>
      <c r="L41" s="168" t="s">
        <v>185</v>
      </c>
      <c r="M41" s="168">
        <v>237630</v>
      </c>
      <c r="N41" s="542">
        <v>249768</v>
      </c>
      <c r="O41" s="881"/>
      <c r="P41" s="558" t="str">
        <f>IF(Contents!$B$2=2,"Yes","Да")</f>
        <v>Да</v>
      </c>
      <c r="Q41" s="29"/>
      <c r="R41" s="590"/>
      <c r="S41" s="590"/>
      <c r="T41" s="590"/>
      <c r="U41" s="590"/>
      <c r="V41" s="589"/>
      <c r="W41" s="558">
        <v>2</v>
      </c>
      <c r="X41" s="589"/>
      <c r="Y41" s="589"/>
      <c r="Z41" s="785"/>
      <c r="AA41" s="785"/>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row>
    <row r="42" spans="1:250">
      <c r="O42" s="882"/>
    </row>
    <row r="43" spans="1:250" s="1" customFormat="1">
      <c r="A43" s="851"/>
      <c r="B43" s="25" t="str">
        <f>IF(Contents!$B$2=2,"Notes:","Примечания:")</f>
        <v>Примечания:</v>
      </c>
      <c r="C43" s="180"/>
      <c r="D43" s="543"/>
      <c r="E43" s="543"/>
      <c r="F43" s="543"/>
      <c r="G43" s="543"/>
      <c r="H43" s="543"/>
      <c r="I43" s="543"/>
      <c r="J43" s="543"/>
      <c r="K43" s="543"/>
      <c r="L43" s="543"/>
      <c r="M43" s="543"/>
      <c r="N43" s="543"/>
      <c r="O43" s="365"/>
      <c r="P43" s="558"/>
      <c r="Q43" s="38"/>
      <c r="R43" s="590"/>
      <c r="S43" s="590"/>
      <c r="T43" s="590"/>
      <c r="U43" s="590"/>
      <c r="V43" s="589"/>
      <c r="W43" s="558"/>
      <c r="X43" s="589"/>
      <c r="Y43" s="589"/>
      <c r="Z43" s="785"/>
      <c r="AA43" s="785"/>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row>
    <row r="44" spans="1:250" s="1" customFormat="1">
      <c r="A44" s="851"/>
      <c r="B44" s="26" t="str">
        <f>IF(Contents!$B$2=2, C45, B45)</f>
        <v>Расчет прочих косвенных выбросов парниковых газов (область охвата 3), относящиеся к добываемой продукции Компании, произведен с применением коэффициентов выбросов при использовании природного газа в качестве топлива, утвержденных приказом Минприроды России от 27 мая 2022 г. № 371 «Об утверждении методик количественного определения объемов выбросов парниковых газов и поглощений парниковых газов», а также с помощью Технического руководства расчета выбросов области охвата 3, версия 1.0 Протокола парниковых газов (GHG Protocol), при условии, что нефть и ШФЛУ направляются в переработку, а прочая добываемая продукция сжигается в качестве топлива, для категории 11 «Использование реализованной продукции» Руководства GHG Protocol.</v>
      </c>
      <c r="C44" s="180"/>
      <c r="D44" s="543"/>
      <c r="E44" s="543"/>
      <c r="F44" s="543"/>
      <c r="G44" s="543"/>
      <c r="H44" s="543"/>
      <c r="I44" s="543"/>
      <c r="J44" s="543"/>
      <c r="K44" s="543"/>
      <c r="L44" s="543"/>
      <c r="M44" s="543"/>
      <c r="N44" s="543"/>
      <c r="O44" s="365"/>
      <c r="P44" s="558"/>
      <c r="Q44" s="38"/>
      <c r="R44" s="590"/>
      <c r="S44" s="590"/>
      <c r="T44" s="590"/>
      <c r="U44" s="590"/>
      <c r="V44" s="589"/>
      <c r="W44" s="558"/>
      <c r="X44" s="589"/>
      <c r="Y44" s="589"/>
      <c r="Z44" s="785"/>
      <c r="AA44" s="785"/>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row>
    <row r="45" spans="1:250" s="1" customFormat="1" ht="18" hidden="1" customHeight="1">
      <c r="A45" s="851"/>
      <c r="B45" s="113" t="s">
        <v>59</v>
      </c>
      <c r="C45" s="113" t="s">
        <v>184</v>
      </c>
      <c r="D45" s="543"/>
      <c r="E45" s="543"/>
      <c r="F45" s="543"/>
      <c r="G45" s="543"/>
      <c r="H45" s="543"/>
      <c r="I45" s="543"/>
      <c r="J45" s="543"/>
      <c r="K45" s="543"/>
      <c r="L45" s="543"/>
      <c r="M45" s="543"/>
      <c r="N45" s="543"/>
      <c r="O45" s="781"/>
      <c r="P45" s="558"/>
      <c r="Q45" s="29"/>
      <c r="R45" s="590"/>
      <c r="S45" s="590"/>
      <c r="T45" s="590"/>
      <c r="U45" s="590"/>
      <c r="V45" s="589"/>
      <c r="W45" s="558"/>
      <c r="X45" s="589"/>
      <c r="Y45" s="589"/>
      <c r="Z45" s="785"/>
      <c r="AA45" s="785"/>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row>
    <row r="46" spans="1:250" ht="25.5">
      <c r="B46" s="181" t="str">
        <f>IF(Contents!$B$2=2,"Specific direct GHG emissions (Scope 1)","Удельные прямые выбросы парниковых газов (Область охвата 1)")</f>
        <v>Удельные прямые выбросы парниковых газов (Область охвата 1)</v>
      </c>
      <c r="C46" s="185"/>
      <c r="D46" s="544"/>
      <c r="E46" s="544"/>
      <c r="F46" s="544"/>
      <c r="G46" s="544"/>
      <c r="H46" s="544"/>
      <c r="I46" s="544"/>
      <c r="J46" s="544"/>
      <c r="K46" s="544"/>
      <c r="L46" s="544"/>
      <c r="M46" s="544"/>
      <c r="N46" s="544"/>
      <c r="O46" s="781"/>
      <c r="P46" s="558"/>
      <c r="Q46" s="29"/>
      <c r="R46" s="465" t="s">
        <v>60</v>
      </c>
      <c r="S46" s="493"/>
      <c r="T46" s="465" t="s">
        <v>51</v>
      </c>
      <c r="U46" s="273" t="str">
        <f>IF(Contents!$B$2=2,"PBCS 9","СОКБ 9")</f>
        <v>СОКБ 9</v>
      </c>
      <c r="W46" s="558"/>
    </row>
    <row r="47" spans="1:250" s="1" customFormat="1" ht="44.25" customHeight="1">
      <c r="A47" s="851"/>
      <c r="B47" s="190" t="str">
        <f>IF(Contents!$B$2=2,"Direct GHG emissions (Scope 1) intensity per hydrocarbon production","Удельные прямые выбросы парниковых газов (Область охвата 1) на добычу")</f>
        <v>Удельные прямые выбросы парниковых газов (Область охвата 1) на добычу</v>
      </c>
      <c r="C47" s="186" t="str">
        <f>IF(Contents!$B$2=2,"tons of CO₂ eq. / th. boe","т CO₂-экв. / тыс. бнэ")</f>
        <v>т CO₂-экв. / тыс. бнэ</v>
      </c>
      <c r="D47" s="168" t="s">
        <v>185</v>
      </c>
      <c r="E47" s="168" t="s">
        <v>185</v>
      </c>
      <c r="F47" s="10">
        <v>8494</v>
      </c>
      <c r="G47" s="10">
        <v>11018</v>
      </c>
      <c r="H47" s="10">
        <v>18842</v>
      </c>
      <c r="I47" s="10">
        <v>14889</v>
      </c>
      <c r="J47" s="10">
        <v>16043</v>
      </c>
      <c r="K47" s="10">
        <v>14754</v>
      </c>
      <c r="L47" s="10">
        <v>14701</v>
      </c>
      <c r="M47" s="10">
        <v>14357</v>
      </c>
      <c r="N47" s="548">
        <v>14313</v>
      </c>
      <c r="O47" s="881"/>
      <c r="P47" s="558" t="str">
        <f>IF(Contents!$B$2=2,"Yes","Да")</f>
        <v>Да</v>
      </c>
      <c r="Q47" s="38"/>
      <c r="R47" s="465" t="s">
        <v>242</v>
      </c>
      <c r="S47" s="590"/>
      <c r="T47" s="590"/>
      <c r="U47" s="590"/>
      <c r="V47" s="589"/>
      <c r="W47" s="558">
        <v>2</v>
      </c>
      <c r="X47" s="589"/>
      <c r="Y47" s="595"/>
      <c r="Z47" s="785"/>
      <c r="AA47" s="785"/>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row>
    <row r="48" spans="1:250" s="1" customFormat="1" ht="44.25" customHeight="1">
      <c r="A48" s="851"/>
      <c r="B48" s="190" t="str">
        <f>IF(Contents!$B$2=2,"Direct GHG emissions (Scope 1) intensity per total revenue in RR","Удельные прямые выбросы парниковых газов (Область охвата 1) на выручку в рублях")</f>
        <v>Удельные прямые выбросы парниковых газов (Область охвата 1) на выручку в рублях</v>
      </c>
      <c r="C48" s="186" t="str">
        <f>IF(Contents!$B$2=2,"tons of CO₂ eq. / RR mln sales"," т CO₂-экв. / млн руб. продаж ")</f>
        <v xml:space="preserve"> т CO₂-экв. / млн руб. продаж </v>
      </c>
      <c r="D48" s="168" t="s">
        <v>185</v>
      </c>
      <c r="E48" s="168" t="s">
        <v>185</v>
      </c>
      <c r="F48" s="569">
        <v>7.48</v>
      </c>
      <c r="G48" s="569">
        <v>7.27</v>
      </c>
      <c r="H48" s="569">
        <v>12.88</v>
      </c>
      <c r="I48" s="569">
        <v>12.72</v>
      </c>
      <c r="J48" s="569">
        <v>8.69</v>
      </c>
      <c r="K48" s="570" t="s">
        <v>185</v>
      </c>
      <c r="L48" s="569">
        <v>6.91</v>
      </c>
      <c r="M48" s="569">
        <v>6.19</v>
      </c>
      <c r="N48" s="829">
        <v>6.66</v>
      </c>
      <c r="O48" s="365"/>
      <c r="P48" s="558"/>
      <c r="Q48" s="38"/>
      <c r="R48" s="590"/>
      <c r="S48" s="590"/>
      <c r="T48" s="590"/>
      <c r="U48" s="590"/>
      <c r="V48" s="589"/>
      <c r="W48" s="558">
        <v>2</v>
      </c>
      <c r="X48" s="589"/>
      <c r="Y48" s="595"/>
      <c r="Z48" s="785"/>
      <c r="AA48" s="785"/>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row>
    <row r="49" spans="1:250">
      <c r="B49" s="23" t="str">
        <f>IF(Contents!$B$2=2,"by facilities","по сегментам")</f>
        <v>по сегментам</v>
      </c>
      <c r="C49" s="176"/>
      <c r="D49" s="540"/>
      <c r="E49" s="540"/>
      <c r="F49" s="540"/>
      <c r="G49" s="540"/>
      <c r="H49" s="540"/>
      <c r="I49" s="540"/>
      <c r="J49" s="540"/>
      <c r="K49" s="540"/>
      <c r="L49" s="540"/>
      <c r="M49" s="540"/>
      <c r="N49" s="540"/>
      <c r="O49" s="880"/>
      <c r="P49" s="39"/>
      <c r="Q49" s="37"/>
      <c r="R49" s="465"/>
      <c r="S49" s="465"/>
      <c r="T49" s="465"/>
      <c r="U49" s="590"/>
      <c r="W49" s="39"/>
      <c r="Y49" s="595"/>
    </row>
    <row r="50" spans="1:250" s="1" customFormat="1" ht="55.5" customHeight="1">
      <c r="A50" s="851"/>
      <c r="B50" s="177" t="str">
        <f>IF(Contents!$B$2=2,"Production / Upstream facilities","Предприятия добычи")</f>
        <v>Предприятия добычи</v>
      </c>
      <c r="C50" s="186" t="str">
        <f>IF(Contents!$B$2=2,"tons of CO₂ eq. / th. boe","т CO₂-экв. / тыс. бнэ")</f>
        <v>т CO₂-экв. / тыс. бнэ</v>
      </c>
      <c r="D50" s="168" t="s">
        <v>185</v>
      </c>
      <c r="E50" s="168" t="s">
        <v>185</v>
      </c>
      <c r="F50" s="168" t="s">
        <v>185</v>
      </c>
      <c r="G50" s="545">
        <v>8.76</v>
      </c>
      <c r="H50" s="545">
        <v>12.58</v>
      </c>
      <c r="I50" s="546">
        <v>8.65</v>
      </c>
      <c r="J50" s="546">
        <v>9.7569999999999997</v>
      </c>
      <c r="K50" s="546">
        <v>8.6270000000000007</v>
      </c>
      <c r="L50" s="546">
        <v>8.4939999999999998</v>
      </c>
      <c r="M50" s="546">
        <v>8.3970000000000002</v>
      </c>
      <c r="N50" s="547">
        <v>8.68</v>
      </c>
      <c r="O50" s="869"/>
      <c r="P50" s="558" t="str">
        <f>IF(Contents!$B$2=2,"Yes","Да")</f>
        <v>Да</v>
      </c>
      <c r="Q50" s="29"/>
      <c r="R50" s="465"/>
      <c r="S50" s="465"/>
      <c r="T50" s="465"/>
      <c r="U50" s="590"/>
      <c r="V50" s="589"/>
      <c r="W50" s="558">
        <v>2</v>
      </c>
      <c r="X50" s="589"/>
      <c r="Y50" s="595"/>
      <c r="Z50" s="785"/>
      <c r="AA50" s="785"/>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row>
    <row r="51" spans="1:250" s="1" customFormat="1" ht="55.5" customHeight="1">
      <c r="A51" s="851"/>
      <c r="B51" s="177" t="str">
        <f>IF(Contents!$B$2=2,"Processing / Downstream facilities","Предприятия переработки")</f>
        <v>Предприятия переработки</v>
      </c>
      <c r="C51" s="186" t="str">
        <f>IF(Contents!$B$2=2,"tons of CO₂ eq. / tons of processed hydrocarbon feedstock","т CO₂-экв. / т переработанного углеводородного сырья ")</f>
        <v>т CO₂-экв. / т переработанного углеводородного сырья </v>
      </c>
      <c r="D51" s="168" t="s">
        <v>185</v>
      </c>
      <c r="E51" s="168" t="s">
        <v>185</v>
      </c>
      <c r="F51" s="168" t="s">
        <v>185</v>
      </c>
      <c r="G51" s="545">
        <v>3.6999999999999998E-2</v>
      </c>
      <c r="H51" s="545">
        <v>3.4000000000000002E-2</v>
      </c>
      <c r="I51" s="546">
        <v>3.1E-2</v>
      </c>
      <c r="J51" s="546">
        <v>3.4000000000000002E-2</v>
      </c>
      <c r="K51" s="546">
        <v>3.5000000000000003E-2</v>
      </c>
      <c r="L51" s="546">
        <v>3.7999999999999999E-2</v>
      </c>
      <c r="M51" s="546">
        <v>2.9000000000000001E-2</v>
      </c>
      <c r="N51" s="547">
        <v>3.4000000000000002E-2</v>
      </c>
      <c r="O51" s="869"/>
      <c r="P51" s="558" t="str">
        <f>IF(Contents!$B$2=2,"Yes","Да")</f>
        <v>Да</v>
      </c>
      <c r="Q51" s="29"/>
      <c r="R51" s="465"/>
      <c r="S51" s="465"/>
      <c r="T51" s="465"/>
      <c r="U51" s="590"/>
      <c r="V51" s="589"/>
      <c r="W51" s="558">
        <v>2</v>
      </c>
      <c r="X51" s="589"/>
      <c r="Y51" s="595"/>
      <c r="Z51" s="785"/>
      <c r="AA51" s="785"/>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row>
    <row r="52" spans="1:250" s="1" customFormat="1" ht="55.5" customHeight="1">
      <c r="A52" s="851"/>
      <c r="B52" s="177" t="str">
        <f>IF(Contents!$B$2=2,"LNG production facilities","Производство СПГ")</f>
        <v>Производство СПГ</v>
      </c>
      <c r="C52" s="186" t="str">
        <f>IF(Contents!$B$2=2,"tons of CO₂ eq. / tons of LNG","т CO₂-экв. / т СПГ ")</f>
        <v>т CO₂-экв. / т СПГ </v>
      </c>
      <c r="D52" s="168" t="s">
        <v>185</v>
      </c>
      <c r="E52" s="168" t="s">
        <v>185</v>
      </c>
      <c r="F52" s="168" t="s">
        <v>185</v>
      </c>
      <c r="G52" s="545">
        <v>0.27</v>
      </c>
      <c r="H52" s="545">
        <v>0.26</v>
      </c>
      <c r="I52" s="546">
        <v>0.24399999999999999</v>
      </c>
      <c r="J52" s="546">
        <v>0.24299999999999999</v>
      </c>
      <c r="K52" s="546">
        <v>0.22900000000000001</v>
      </c>
      <c r="L52" s="546">
        <v>0.24</v>
      </c>
      <c r="M52" s="546">
        <v>0.224</v>
      </c>
      <c r="N52" s="547">
        <v>0.24</v>
      </c>
      <c r="O52" s="869"/>
      <c r="P52" s="558" t="str">
        <f>IF(Contents!$B$2=2,"Yes","Да")</f>
        <v>Да</v>
      </c>
      <c r="Q52" s="29"/>
      <c r="R52" s="465"/>
      <c r="S52" s="465"/>
      <c r="T52" s="465"/>
      <c r="U52" s="590"/>
      <c r="V52" s="589"/>
      <c r="W52" s="558">
        <v>2</v>
      </c>
      <c r="X52" s="589"/>
      <c r="Y52" s="595"/>
      <c r="Z52" s="785"/>
      <c r="AA52" s="785"/>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row>
    <row r="53" spans="1:250" s="1" customFormat="1" ht="25.5" customHeight="1">
      <c r="A53" s="851"/>
      <c r="B53" s="177"/>
      <c r="C53" s="186"/>
      <c r="D53" s="168"/>
      <c r="E53" s="168"/>
      <c r="F53" s="168"/>
      <c r="G53" s="545"/>
      <c r="H53" s="545"/>
      <c r="I53" s="546"/>
      <c r="J53" s="546"/>
      <c r="K53" s="546"/>
      <c r="L53" s="546"/>
      <c r="M53" s="546"/>
      <c r="N53" s="546"/>
      <c r="O53" s="365"/>
      <c r="P53" s="558"/>
      <c r="Q53" s="38"/>
      <c r="R53" s="465"/>
      <c r="S53" s="465"/>
      <c r="T53" s="465"/>
      <c r="U53" s="590"/>
      <c r="V53" s="589"/>
      <c r="W53" s="558"/>
      <c r="X53" s="589"/>
      <c r="Y53" s="595"/>
      <c r="Z53" s="785"/>
      <c r="AA53" s="785"/>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row>
    <row r="54" spans="1:250" s="1" customFormat="1" ht="25.5" customHeight="1">
      <c r="A54" s="851"/>
      <c r="B54" s="181" t="str">
        <f>IF(Contents!$B$2=2,"Specific GHG emissions","Удельные выбросы парниковых газов")</f>
        <v>Удельные выбросы парниковых газов</v>
      </c>
      <c r="C54" s="185"/>
      <c r="D54" s="544"/>
      <c r="E54" s="544"/>
      <c r="F54" s="544"/>
      <c r="G54" s="544"/>
      <c r="H54" s="544"/>
      <c r="I54" s="544"/>
      <c r="J54" s="544"/>
      <c r="K54" s="544"/>
      <c r="L54" s="544"/>
      <c r="M54" s="544"/>
      <c r="N54" s="544"/>
      <c r="O54" s="365"/>
      <c r="P54" s="558"/>
      <c r="Q54" s="38"/>
      <c r="R54" s="465"/>
      <c r="S54" s="465"/>
      <c r="T54" s="465"/>
      <c r="U54" s="590"/>
      <c r="V54" s="589"/>
      <c r="W54" s="558"/>
      <c r="X54" s="589"/>
      <c r="Y54" s="595"/>
      <c r="Z54" s="785"/>
      <c r="AA54" s="785"/>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row>
    <row r="55" spans="1:250" s="1" customFormat="1" ht="33.6" customHeight="1">
      <c r="A55" s="851"/>
      <c r="B55" s="838" t="str">
        <f>IF(Contents!$B$2=2,"Specific greenhouse gas emissions in the production segment (Scope 1 and 2)","Удельные выбросы парниковых газов в сегменте добычи (области охвата 1 и 2)")</f>
        <v>Удельные выбросы парниковых газов в сегменте добычи (области охвата 1 и 2)</v>
      </c>
      <c r="C55" s="839" t="str">
        <f>IF(Contents!$B$2=2," tons of CO₂ eq. / boe","т CO₂-экв. / бнэ")</f>
        <v>т CO₂-экв. / бнэ</v>
      </c>
      <c r="D55" s="840" t="s">
        <v>185</v>
      </c>
      <c r="E55" s="840" t="s">
        <v>185</v>
      </c>
      <c r="F55" s="840" t="s">
        <v>185</v>
      </c>
      <c r="G55" s="840" t="s">
        <v>185</v>
      </c>
      <c r="H55" s="840" t="s">
        <v>185</v>
      </c>
      <c r="I55" s="840" t="s">
        <v>185</v>
      </c>
      <c r="J55" s="840" t="s">
        <v>185</v>
      </c>
      <c r="K55" s="840" t="s">
        <v>185</v>
      </c>
      <c r="L55" s="841">
        <v>8.8000000000000007</v>
      </c>
      <c r="M55" s="841">
        <v>8.6999999999999993</v>
      </c>
      <c r="N55" s="868">
        <v>9</v>
      </c>
      <c r="O55" s="365"/>
      <c r="P55" s="558"/>
      <c r="Q55" s="38"/>
      <c r="R55" s="465"/>
      <c r="S55" s="465"/>
      <c r="T55" s="465"/>
      <c r="U55" s="590"/>
      <c r="V55" s="589"/>
      <c r="W55" s="558">
        <v>2</v>
      </c>
      <c r="X55" s="589"/>
      <c r="Y55" s="595"/>
      <c r="Z55" s="785"/>
      <c r="AA55" s="785"/>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row>
    <row r="56" spans="1:250" s="1" customFormat="1" ht="44.25" customHeight="1">
      <c r="A56" s="851"/>
      <c r="B56" s="190" t="str">
        <f>IF(Contents!$B$2=2,"Indirect GHG emissions related to energy (Scope 2) intensity per hydrocarbon production","Удельные косвенные энергетические выбросы парниковых газов (Область охвата 2) на добычу")</f>
        <v>Удельные косвенные энергетические выбросы парниковых газов (Область охвата 2) на добычу</v>
      </c>
      <c r="C56" s="186" t="str">
        <f>IF(Contents!$B$2=2,"kg of CO₂ eq. / th. boe","кг CO₂-экв. на тыс. бнэ")</f>
        <v>кг CO₂-экв. на тыс. бнэ</v>
      </c>
      <c r="D56" s="168" t="s">
        <v>185</v>
      </c>
      <c r="E56" s="168" t="s">
        <v>185</v>
      </c>
      <c r="F56" s="191">
        <v>373</v>
      </c>
      <c r="G56" s="191">
        <v>364</v>
      </c>
      <c r="H56" s="191">
        <v>347</v>
      </c>
      <c r="I56" s="191">
        <v>259</v>
      </c>
      <c r="J56" s="191">
        <v>269</v>
      </c>
      <c r="K56" s="191">
        <v>261</v>
      </c>
      <c r="L56" s="191">
        <v>269</v>
      </c>
      <c r="M56" s="191">
        <v>267</v>
      </c>
      <c r="N56" s="27">
        <v>291</v>
      </c>
      <c r="O56" s="869"/>
      <c r="P56" s="558" t="str">
        <f>IF(Contents!$B$2=2,"Yes","Да")</f>
        <v>Да</v>
      </c>
      <c r="Q56" s="38"/>
      <c r="R56" s="465" t="s">
        <v>242</v>
      </c>
      <c r="S56" s="590"/>
      <c r="T56" s="590"/>
      <c r="U56" s="590"/>
      <c r="V56" s="589"/>
      <c r="W56" s="558">
        <v>2</v>
      </c>
      <c r="X56" s="589"/>
      <c r="Y56" s="595"/>
      <c r="Z56" s="785"/>
      <c r="AA56" s="785"/>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row>
    <row r="57" spans="1:250" s="1" customFormat="1" ht="40.5" customHeight="1">
      <c r="A57" s="847"/>
      <c r="B57" s="647" t="str">
        <f>IF(Contents!$B$2=2,"Specific greenhouse gas emissions (Scope 1, 2 and 3) calculated in unified energy equivalent","Удельные выбросы парниковых газов (области охвата 1, 2 и 3) рассчитанные в едином энергетическом эквиваленте")</f>
        <v>Удельные выбросы парниковых газов (области охвата 1, 2 и 3) рассчитанные в едином энергетическом эквиваленте</v>
      </c>
      <c r="C57" s="186" t="str">
        <f>IF(Contents!$B$2=2,"g of CO₂ eq. / MJ","г CO₂-экв. / МДж")</f>
        <v>г CO₂-экв. / МДж</v>
      </c>
      <c r="D57" s="168" t="s">
        <v>185</v>
      </c>
      <c r="E57" s="168" t="s">
        <v>185</v>
      </c>
      <c r="F57" s="168" t="s">
        <v>185</v>
      </c>
      <c r="G57" s="168" t="s">
        <v>185</v>
      </c>
      <c r="H57" s="168" t="s">
        <v>185</v>
      </c>
      <c r="I57" s="168" t="s">
        <v>185</v>
      </c>
      <c r="J57" s="168" t="s">
        <v>185</v>
      </c>
      <c r="K57" s="168" t="s">
        <v>185</v>
      </c>
      <c r="L57" s="649">
        <v>45.5</v>
      </c>
      <c r="M57" s="649">
        <v>45.1</v>
      </c>
      <c r="N57" s="848">
        <v>44.6</v>
      </c>
      <c r="O57" s="365"/>
      <c r="P57" s="558"/>
      <c r="Q57" s="38"/>
      <c r="R57" s="465"/>
      <c r="S57" s="465"/>
      <c r="T57" s="465"/>
      <c r="U57" s="590"/>
      <c r="V57" s="589"/>
      <c r="W57" s="558">
        <v>2</v>
      </c>
      <c r="X57" s="589"/>
      <c r="Y57" s="595"/>
      <c r="Z57" s="785"/>
      <c r="AA57" s="785"/>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row>
    <row r="58" spans="1:250" s="1" customFormat="1" ht="44.25" customHeight="1">
      <c r="A58" s="847"/>
      <c r="B58" s="190" t="str">
        <f>IF(Contents!$B$2=2,"GHG Intensity (Other indirect GHG emissions (Scope 3) intensity per hydrocarbon production)","GHG Intensity (Удельные косвенные прочие выбросы парниковых газов (Область охвата 3) на добычу)")</f>
        <v>GHG Intensity (Удельные косвенные прочие выбросы парниковых газов (Область охвата 3) на добычу)</v>
      </c>
      <c r="C58" s="186" t="str">
        <f>IF(Contents!$B$2=2,"kg of CO₂ eq. / boe","кг CO₂-экв. / бнэ")</f>
        <v>кг CO₂-экв. / бнэ</v>
      </c>
      <c r="D58" s="168" t="s">
        <v>185</v>
      </c>
      <c r="E58" s="168" t="s">
        <v>185</v>
      </c>
      <c r="F58" s="168" t="s">
        <v>185</v>
      </c>
      <c r="G58" s="191">
        <v>298</v>
      </c>
      <c r="H58" s="191">
        <v>298</v>
      </c>
      <c r="I58" s="191">
        <v>295</v>
      </c>
      <c r="J58" s="192">
        <v>294</v>
      </c>
      <c r="K58" s="192">
        <v>289</v>
      </c>
      <c r="L58" s="192">
        <v>290</v>
      </c>
      <c r="M58" s="192">
        <v>286</v>
      </c>
      <c r="N58" s="27">
        <v>286</v>
      </c>
      <c r="O58" s="869"/>
      <c r="P58" s="558" t="str">
        <f>IF(Contents!$B$2=2,"Yes","Да")</f>
        <v>Да</v>
      </c>
      <c r="Q58" s="38"/>
      <c r="R58" s="590"/>
      <c r="S58" s="590"/>
      <c r="T58" s="590"/>
      <c r="U58" s="590"/>
      <c r="V58" s="589"/>
      <c r="W58" s="558">
        <v>2</v>
      </c>
      <c r="X58" s="589"/>
      <c r="Y58" s="595"/>
      <c r="Z58" s="785"/>
      <c r="AA58" s="785"/>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row>
    <row r="59" spans="1:250" s="1" customFormat="1" ht="25.5" customHeight="1">
      <c r="A59" s="851"/>
      <c r="B59" s="25" t="str">
        <f>IF(Contents!$B$2=2,"Notes:","Примечания:")</f>
        <v>Примечания:</v>
      </c>
      <c r="C59" s="186"/>
      <c r="D59" s="168"/>
      <c r="E59" s="168"/>
      <c r="F59" s="168"/>
      <c r="G59" s="168"/>
      <c r="H59" s="168"/>
      <c r="I59" s="168"/>
      <c r="J59" s="168"/>
      <c r="K59" s="168"/>
      <c r="L59" s="168"/>
      <c r="M59" s="168"/>
      <c r="N59" s="168"/>
      <c r="O59" s="365"/>
      <c r="P59" s="558"/>
      <c r="Q59" s="38"/>
      <c r="R59" s="465"/>
      <c r="S59" s="465"/>
      <c r="T59" s="465"/>
      <c r="U59" s="590"/>
      <c r="V59" s="589"/>
      <c r="W59" s="558"/>
      <c r="X59" s="589"/>
      <c r="Y59" s="595"/>
      <c r="Z59" s="785"/>
      <c r="AA59" s="785"/>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row>
    <row r="60" spans="1:250" s="1" customFormat="1" ht="25.5" customHeight="1">
      <c r="A60" s="851"/>
      <c r="B60" s="26" t="str">
        <f>IF(Contents!$B$2=2, C63, B63)</f>
        <v xml:space="preserve">Удельные выбросы парниковых газов в сегменте добычи рассчитаны как отношение валовых выбросов парниковых газов (области охвата 1 и 2) в сегменте добычи к годовому объему добычи углеводородов в соответствии с методикой OGCI. Сегмент добычи также включает разведку углеводородов. </v>
      </c>
      <c r="C60" s="180"/>
      <c r="D60" s="543"/>
      <c r="E60" s="543"/>
      <c r="F60" s="543"/>
      <c r="G60" s="543"/>
      <c r="H60" s="543"/>
      <c r="I60" s="543"/>
      <c r="J60" s="543"/>
      <c r="K60" s="543"/>
      <c r="L60" s="543"/>
      <c r="M60" s="543"/>
      <c r="N60" s="543"/>
      <c r="O60" s="365"/>
      <c r="P60" s="558"/>
      <c r="Q60" s="38"/>
      <c r="R60" s="465"/>
      <c r="S60" s="465"/>
      <c r="T60" s="465"/>
      <c r="U60" s="590"/>
      <c r="V60" s="589"/>
      <c r="W60" s="558"/>
      <c r="X60" s="589"/>
      <c r="Y60" s="595"/>
      <c r="Z60" s="785"/>
      <c r="AA60" s="785"/>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c r="IJ60" s="14"/>
      <c r="IK60" s="14"/>
      <c r="IL60" s="14"/>
      <c r="IM60" s="14"/>
      <c r="IN60" s="14"/>
      <c r="IO60" s="14"/>
      <c r="IP60" s="14"/>
    </row>
    <row r="61" spans="1:250" s="1" customFormat="1" ht="25.5" customHeight="1">
      <c r="A61" s="851" t="s">
        <v>52</v>
      </c>
      <c r="B61" s="26" t="str">
        <f>IF(Contents!$B$2=2, E63, D63)</f>
        <v xml:space="preserve">Удельные выбросы парниковых газов расчитаны как отношение валовых выбросов парниковых газов (области охвата 1, 2 и 3) на протяжении всего жизненного цикла продукта от добычи сырья до использования его потребителем к годовому объему производства продукции, выраженному в энергетических единицах (МДж). В расчете используются коэффициенты API Compendium, учитывается категория 11 прочих косвенных выбросов парниковых газов (область охвата 3). </v>
      </c>
      <c r="C61" s="180"/>
      <c r="D61" s="543"/>
      <c r="E61" s="543"/>
      <c r="F61" s="543"/>
      <c r="G61" s="543"/>
      <c r="H61" s="543"/>
      <c r="I61" s="543"/>
      <c r="J61" s="543"/>
      <c r="K61" s="543"/>
      <c r="L61" s="543"/>
      <c r="M61" s="543"/>
      <c r="N61" s="543"/>
      <c r="O61" s="365"/>
      <c r="P61" s="558"/>
      <c r="Q61" s="38"/>
      <c r="R61" s="465"/>
      <c r="S61" s="465"/>
      <c r="T61" s="465"/>
      <c r="U61" s="590"/>
      <c r="V61" s="589"/>
      <c r="W61" s="558"/>
      <c r="X61" s="589"/>
      <c r="Y61" s="595"/>
      <c r="Z61" s="785"/>
      <c r="AA61" s="785"/>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c r="IJ61" s="14"/>
      <c r="IK61" s="14"/>
      <c r="IL61" s="14"/>
      <c r="IM61" s="14"/>
      <c r="IN61" s="14"/>
      <c r="IO61" s="14"/>
      <c r="IP61" s="14"/>
    </row>
    <row r="62" spans="1:250" s="1" customFormat="1" ht="25.5" customHeight="1">
      <c r="A62" s="851"/>
      <c r="B62" s="26" t="str">
        <f>IF(Contents!$B$2=2, G63, F63)</f>
        <v xml:space="preserve">Удельные выбросы метана расчитаны как отношение валовых выбросов метана к годовому объему реализации природного газа в соответствии с методикой OGCI. </v>
      </c>
      <c r="D62" s="543"/>
      <c r="E62" s="543"/>
      <c r="F62" s="543"/>
      <c r="G62" s="543"/>
      <c r="H62" s="543"/>
      <c r="I62" s="543"/>
      <c r="J62" s="543"/>
      <c r="K62" s="543"/>
      <c r="L62" s="543"/>
      <c r="M62" s="543"/>
      <c r="N62" s="543"/>
      <c r="O62" s="365"/>
      <c r="P62" s="558"/>
      <c r="Q62" s="38"/>
      <c r="R62" s="465"/>
      <c r="S62" s="465"/>
      <c r="T62" s="465"/>
      <c r="U62" s="590"/>
      <c r="V62" s="589"/>
      <c r="W62" s="558"/>
      <c r="X62" s="589"/>
      <c r="Y62" s="595"/>
      <c r="Z62" s="785"/>
      <c r="AA62" s="785"/>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row>
    <row r="63" spans="1:250" s="1" customFormat="1" ht="25.5" hidden="1" customHeight="1">
      <c r="A63" s="851"/>
      <c r="B63" s="114" t="s">
        <v>187</v>
      </c>
      <c r="C63" s="227" t="s">
        <v>190</v>
      </c>
      <c r="D63" s="528" t="s">
        <v>189</v>
      </c>
      <c r="E63" s="555" t="s">
        <v>191</v>
      </c>
      <c r="F63" s="528" t="s">
        <v>188</v>
      </c>
      <c r="G63" s="528" t="s">
        <v>192</v>
      </c>
      <c r="H63" s="556"/>
      <c r="I63" s="556"/>
      <c r="J63" s="556"/>
      <c r="K63" s="556"/>
      <c r="L63" s="556"/>
      <c r="M63" s="556"/>
      <c r="N63" s="556"/>
      <c r="O63" s="365"/>
      <c r="P63" s="558"/>
      <c r="Q63" s="38"/>
      <c r="R63" s="465"/>
      <c r="S63" s="465"/>
      <c r="T63" s="465"/>
      <c r="U63" s="590"/>
      <c r="V63" s="589"/>
      <c r="W63" s="558"/>
      <c r="X63" s="589"/>
      <c r="Y63" s="595"/>
      <c r="Z63" s="785"/>
      <c r="AA63" s="785"/>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row>
    <row r="64" spans="1:250" s="1" customFormat="1" ht="25.5" customHeight="1">
      <c r="A64" s="851"/>
      <c r="B64" s="181" t="str">
        <f>IF(Contents!$B$2=2,"Methane","Метан")</f>
        <v>Метан</v>
      </c>
      <c r="C64" s="185"/>
      <c r="D64" s="544"/>
      <c r="E64" s="544"/>
      <c r="F64" s="544"/>
      <c r="G64" s="544"/>
      <c r="H64" s="544"/>
      <c r="I64" s="544"/>
      <c r="J64" s="544"/>
      <c r="K64" s="544"/>
      <c r="L64" s="544"/>
      <c r="M64" s="544"/>
      <c r="N64" s="544"/>
      <c r="O64" s="365"/>
      <c r="P64" s="558"/>
      <c r="Q64" s="38"/>
      <c r="V64" s="589"/>
      <c r="W64" s="558"/>
      <c r="X64" s="589"/>
      <c r="Y64" s="595"/>
      <c r="Z64" s="785"/>
      <c r="AA64" s="785"/>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row>
    <row r="65" spans="1:250" s="1" customFormat="1" ht="25.5" customHeight="1">
      <c r="A65" s="851"/>
      <c r="B65" s="409" t="str">
        <f>IF(Contents!$B$2=2,"Methane emissions","Выбросы метана")</f>
        <v>Выбросы метана</v>
      </c>
      <c r="C65" s="12" t="str">
        <f>IF(Contents!$B$2=2,"tons","тонн")</f>
        <v>тонн</v>
      </c>
      <c r="D65" s="168" t="s">
        <v>185</v>
      </c>
      <c r="E65" s="168" t="s">
        <v>185</v>
      </c>
      <c r="F65" s="168" t="s">
        <v>185</v>
      </c>
      <c r="G65" s="168" t="s">
        <v>185</v>
      </c>
      <c r="H65" s="10">
        <v>6160</v>
      </c>
      <c r="I65" s="10">
        <v>8886</v>
      </c>
      <c r="J65" s="10">
        <v>8156</v>
      </c>
      <c r="K65" s="10">
        <v>6343</v>
      </c>
      <c r="L65" s="10">
        <v>6151</v>
      </c>
      <c r="M65" s="10">
        <v>6292</v>
      </c>
      <c r="N65" s="548">
        <v>6574</v>
      </c>
      <c r="O65" s="869"/>
      <c r="P65" s="558" t="str">
        <f>IF(Contents!$B$2=2,"Yes","Да")</f>
        <v>Да</v>
      </c>
      <c r="Q65" s="38"/>
      <c r="R65" s="273" t="s">
        <v>92</v>
      </c>
      <c r="S65" s="273" t="s">
        <v>93</v>
      </c>
      <c r="T65" s="273" t="s">
        <v>186</v>
      </c>
      <c r="U65" s="273" t="str">
        <f>IF(Contents!$B$2=2,"PBCS 7","СОКБ 7")</f>
        <v>СОКБ 7</v>
      </c>
      <c r="V65" s="589"/>
      <c r="W65" s="558">
        <v>2</v>
      </c>
      <c r="X65" s="589"/>
      <c r="Y65" s="595"/>
      <c r="Z65" s="785"/>
      <c r="AA65" s="785"/>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row>
    <row r="66" spans="1:250" s="1" customFormat="1">
      <c r="A66" s="851"/>
      <c r="B66" s="23" t="str">
        <f>IF(Contents!$B$2=2,"by facilities","по сегментам")</f>
        <v>по сегментам</v>
      </c>
      <c r="C66" s="176"/>
      <c r="D66" s="540"/>
      <c r="E66" s="540"/>
      <c r="F66" s="540"/>
      <c r="G66" s="540"/>
      <c r="H66" s="648"/>
      <c r="I66" s="648"/>
      <c r="J66" s="648"/>
      <c r="K66" s="648"/>
      <c r="L66" s="648"/>
      <c r="M66" s="648"/>
      <c r="N66" s="648"/>
      <c r="O66" s="365"/>
      <c r="P66" s="558"/>
      <c r="Q66" s="38"/>
      <c r="R66" s="465"/>
      <c r="S66" s="465"/>
      <c r="T66" s="465"/>
      <c r="U66" s="590"/>
      <c r="V66" s="589"/>
      <c r="W66" s="558"/>
      <c r="X66" s="589"/>
      <c r="Y66" s="595"/>
      <c r="Z66" s="785"/>
      <c r="AA66" s="785"/>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row>
    <row r="67" spans="1:250" s="1" customFormat="1" ht="25.5" customHeight="1">
      <c r="A67" s="851"/>
      <c r="B67" s="177" t="str">
        <f>IF(Contents!$B$2=2,"Production / Upstream facilities","Предприятия добычи")</f>
        <v>Предприятия добычи</v>
      </c>
      <c r="C67" s="12" t="str">
        <f>IF(Contents!$B$2=2,"tons","тонн")</f>
        <v>тонн</v>
      </c>
      <c r="D67" s="168" t="s">
        <v>185</v>
      </c>
      <c r="E67" s="168" t="s">
        <v>185</v>
      </c>
      <c r="F67" s="168" t="s">
        <v>185</v>
      </c>
      <c r="G67" s="168" t="s">
        <v>185</v>
      </c>
      <c r="H67" s="10">
        <v>5913</v>
      </c>
      <c r="I67" s="10">
        <v>8391</v>
      </c>
      <c r="J67" s="10">
        <v>7516</v>
      </c>
      <c r="K67" s="10">
        <v>5877</v>
      </c>
      <c r="L67" s="10">
        <v>5364</v>
      </c>
      <c r="M67" s="10">
        <v>5010</v>
      </c>
      <c r="N67" s="548">
        <v>5347</v>
      </c>
      <c r="O67" s="869"/>
      <c r="P67" s="558"/>
      <c r="Q67" s="38"/>
      <c r="R67" s="465"/>
      <c r="S67" s="465"/>
      <c r="T67" s="465"/>
      <c r="U67" s="590"/>
      <c r="V67" s="589"/>
      <c r="W67" s="558">
        <v>2</v>
      </c>
      <c r="X67" s="589"/>
      <c r="Y67" s="595"/>
      <c r="Z67" s="785"/>
      <c r="AA67" s="785"/>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row>
    <row r="68" spans="1:250" s="1" customFormat="1" ht="25.5" customHeight="1">
      <c r="A68" s="851"/>
      <c r="B68" s="177" t="str">
        <f>IF(Contents!$B$2=2,"Processing / Downstream facilities","Предприятия переработки")</f>
        <v>Предприятия переработки</v>
      </c>
      <c r="C68" s="12" t="str">
        <f>IF(Contents!$B$2=2,"tons","тонн")</f>
        <v>тонн</v>
      </c>
      <c r="D68" s="168" t="s">
        <v>185</v>
      </c>
      <c r="E68" s="168" t="s">
        <v>185</v>
      </c>
      <c r="F68" s="168" t="s">
        <v>185</v>
      </c>
      <c r="G68" s="168" t="s">
        <v>185</v>
      </c>
      <c r="H68" s="10">
        <v>88</v>
      </c>
      <c r="I68" s="10">
        <v>84</v>
      </c>
      <c r="J68" s="10">
        <v>81</v>
      </c>
      <c r="K68" s="10">
        <v>86</v>
      </c>
      <c r="L68" s="10">
        <v>95</v>
      </c>
      <c r="M68" s="10">
        <v>50</v>
      </c>
      <c r="N68" s="548">
        <v>81</v>
      </c>
      <c r="O68" s="869"/>
      <c r="P68" s="558"/>
      <c r="Q68" s="38"/>
      <c r="R68" s="465"/>
      <c r="S68" s="465"/>
      <c r="T68" s="465"/>
      <c r="U68" s="590"/>
      <c r="V68" s="589"/>
      <c r="W68" s="558">
        <v>2</v>
      </c>
      <c r="X68" s="589"/>
      <c r="Y68" s="595"/>
      <c r="Z68" s="785"/>
      <c r="AA68" s="785"/>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row>
    <row r="69" spans="1:250" s="1" customFormat="1" ht="25.5" customHeight="1">
      <c r="A69" s="851"/>
      <c r="B69" s="177" t="str">
        <f>IF(Contents!$B$2=2,"LNG production facilities","Производство СПГ")</f>
        <v>Производство СПГ</v>
      </c>
      <c r="C69" s="12" t="str">
        <f>IF(Contents!$B$2=2,"tons","тонн")</f>
        <v>тонн</v>
      </c>
      <c r="D69" s="168" t="s">
        <v>185</v>
      </c>
      <c r="E69" s="168" t="s">
        <v>185</v>
      </c>
      <c r="F69" s="168" t="s">
        <v>185</v>
      </c>
      <c r="G69" s="168" t="s">
        <v>185</v>
      </c>
      <c r="H69" s="10">
        <v>159</v>
      </c>
      <c r="I69" s="10">
        <v>270</v>
      </c>
      <c r="J69" s="10">
        <v>479</v>
      </c>
      <c r="K69" s="10">
        <v>316</v>
      </c>
      <c r="L69" s="10">
        <v>183</v>
      </c>
      <c r="M69" s="10">
        <v>186</v>
      </c>
      <c r="N69" s="548">
        <v>276</v>
      </c>
      <c r="O69" s="869"/>
      <c r="P69" s="558"/>
      <c r="Q69" s="38"/>
      <c r="R69" s="465"/>
      <c r="S69" s="465"/>
      <c r="T69" s="465"/>
      <c r="U69" s="590"/>
      <c r="V69" s="589"/>
      <c r="W69" s="558">
        <v>2</v>
      </c>
      <c r="X69" s="589"/>
      <c r="Y69" s="595"/>
      <c r="Z69" s="785"/>
      <c r="AA69" s="785"/>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row>
    <row r="70" spans="1:250" s="1" customFormat="1" ht="25.5" customHeight="1">
      <c r="A70" s="851"/>
      <c r="B70" s="177" t="str">
        <f>IF(Contents!$B$2=2,"Energy service facilities","Предприятия энергосервиса")</f>
        <v>Предприятия энергосервиса</v>
      </c>
      <c r="C70" s="12" t="str">
        <f>IF(Contents!$B$2=2,"tons","тонн")</f>
        <v>тонн</v>
      </c>
      <c r="D70" s="168" t="s">
        <v>185</v>
      </c>
      <c r="E70" s="168" t="s">
        <v>185</v>
      </c>
      <c r="F70" s="168" t="s">
        <v>185</v>
      </c>
      <c r="G70" s="168" t="s">
        <v>185</v>
      </c>
      <c r="H70" s="10" t="s">
        <v>185</v>
      </c>
      <c r="I70" s="10">
        <v>141</v>
      </c>
      <c r="J70" s="10">
        <v>80</v>
      </c>
      <c r="K70" s="10">
        <v>64</v>
      </c>
      <c r="L70" s="10">
        <v>509</v>
      </c>
      <c r="M70" s="10">
        <v>1046</v>
      </c>
      <c r="N70" s="548">
        <v>870</v>
      </c>
      <c r="O70" s="869"/>
      <c r="P70" s="558"/>
      <c r="Q70" s="38"/>
      <c r="R70" s="465"/>
      <c r="S70" s="465"/>
      <c r="T70" s="465"/>
      <c r="U70" s="590"/>
      <c r="V70" s="589"/>
      <c r="W70" s="558">
        <v>2</v>
      </c>
      <c r="X70" s="589"/>
      <c r="Y70" s="595"/>
      <c r="Z70" s="785"/>
      <c r="AA70" s="785"/>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row>
    <row r="71" spans="1:250" s="1" customFormat="1">
      <c r="A71" s="851"/>
      <c r="B71" s="23" t="str">
        <f>IF(Contents!$B$2=2,"Methane Emissions Intensity","Интенсивность выбросов метана")</f>
        <v>Интенсивность выбросов метана</v>
      </c>
      <c r="C71" s="176"/>
      <c r="D71" s="540"/>
      <c r="E71" s="540"/>
      <c r="F71" s="540"/>
      <c r="G71" s="540"/>
      <c r="H71" s="648"/>
      <c r="I71" s="648"/>
      <c r="J71" s="648"/>
      <c r="K71" s="648"/>
      <c r="L71" s="648"/>
      <c r="M71" s="648"/>
      <c r="N71" s="648"/>
      <c r="O71" s="365"/>
      <c r="P71" s="558"/>
      <c r="Q71" s="38"/>
      <c r="R71" s="465"/>
      <c r="S71" s="465"/>
      <c r="T71" s="465"/>
      <c r="U71" s="590"/>
      <c r="V71" s="589"/>
      <c r="W71" s="558"/>
      <c r="X71" s="589"/>
      <c r="Y71" s="595"/>
      <c r="Z71" s="785"/>
      <c r="AA71" s="785"/>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row>
    <row r="72" spans="1:250" s="1" customFormat="1" ht="39.950000000000003" customHeight="1">
      <c r="A72" s="851"/>
      <c r="B72" s="647" t="str">
        <f>IF(Contents!$B$2=2,"Specific methane emissions from natural gas extraction, processing and liquefaction enterprises","Удельные выбросы метана по предприятиям добычи, переработки и сжижения природного газа")</f>
        <v>Удельные выбросы метана по предприятиям добычи, переработки и сжижения природного газа</v>
      </c>
      <c r="C72" s="186" t="str">
        <f>IF(Contents!$B$2=2,"tons / million boe","т / млн бнэ")</f>
        <v>т / млн бнэ</v>
      </c>
      <c r="D72" s="168" t="s">
        <v>185</v>
      </c>
      <c r="E72" s="168" t="s">
        <v>185</v>
      </c>
      <c r="F72" s="168" t="s">
        <v>185</v>
      </c>
      <c r="G72" s="168" t="s">
        <v>185</v>
      </c>
      <c r="H72" s="646">
        <v>10.44</v>
      </c>
      <c r="I72" s="646">
        <v>14.44</v>
      </c>
      <c r="J72" s="646">
        <v>12.89</v>
      </c>
      <c r="K72" s="646">
        <v>9.83</v>
      </c>
      <c r="L72" s="646">
        <v>8.75</v>
      </c>
      <c r="M72" s="646">
        <v>7.87</v>
      </c>
      <c r="N72" s="680">
        <v>8.48</v>
      </c>
      <c r="O72" s="869"/>
      <c r="P72" s="558" t="str">
        <f>IF(Contents!$B$2=2,"Yes","Да")</f>
        <v>Да</v>
      </c>
      <c r="Q72" s="38"/>
      <c r="R72" s="465"/>
      <c r="S72" s="465"/>
      <c r="T72" s="465"/>
      <c r="U72" s="590"/>
      <c r="V72" s="589"/>
      <c r="W72" s="558">
        <v>2</v>
      </c>
      <c r="X72" s="589"/>
      <c r="Y72" s="595"/>
      <c r="Z72" s="785"/>
      <c r="AA72" s="785"/>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row>
    <row r="73" spans="1:250" s="1" customFormat="1" ht="25.5" customHeight="1">
      <c r="A73" s="851"/>
      <c r="B73" s="409" t="str">
        <f>IF(Contents!$B$2=2,"Specific methane emissions","Удельные выбросы метана")</f>
        <v>Удельные выбросы метана</v>
      </c>
      <c r="C73" s="186" t="s">
        <v>0</v>
      </c>
      <c r="D73" s="168" t="s">
        <v>185</v>
      </c>
      <c r="E73" s="168" t="s">
        <v>185</v>
      </c>
      <c r="F73" s="168" t="s">
        <v>185</v>
      </c>
      <c r="G73" s="168" t="s">
        <v>185</v>
      </c>
      <c r="H73" s="168" t="s">
        <v>185</v>
      </c>
      <c r="I73" s="168" t="s">
        <v>185</v>
      </c>
      <c r="J73" s="168" t="s">
        <v>185</v>
      </c>
      <c r="K73" s="168" t="s">
        <v>185</v>
      </c>
      <c r="L73" s="237">
        <v>0.01</v>
      </c>
      <c r="M73" s="237">
        <v>0.01</v>
      </c>
      <c r="N73" s="849">
        <v>0.01</v>
      </c>
      <c r="O73" s="365"/>
      <c r="P73" s="558"/>
      <c r="Q73" s="38"/>
      <c r="R73" s="465"/>
      <c r="S73" s="465"/>
      <c r="T73" s="465"/>
      <c r="U73" s="590"/>
      <c r="V73" s="589"/>
      <c r="W73" s="558">
        <v>2</v>
      </c>
      <c r="X73" s="589"/>
      <c r="Y73" s="595"/>
      <c r="Z73" s="785"/>
      <c r="AA73" s="785"/>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row>
    <row r="74" spans="1:250" s="1" customFormat="1">
      <c r="A74" s="851"/>
      <c r="B74" s="188"/>
      <c r="C74" s="189"/>
      <c r="D74" s="543"/>
      <c r="E74" s="543"/>
      <c r="F74" s="543"/>
      <c r="G74" s="543"/>
      <c r="H74" s="543"/>
      <c r="I74" s="543"/>
      <c r="J74" s="543"/>
      <c r="K74" s="543"/>
      <c r="L74" s="543"/>
      <c r="M74" s="543"/>
      <c r="N74" s="543"/>
      <c r="O74" s="365"/>
      <c r="P74" s="558"/>
      <c r="Q74" s="38"/>
      <c r="R74" s="465"/>
      <c r="S74" s="465"/>
      <c r="T74" s="465"/>
      <c r="U74" s="590"/>
      <c r="V74" s="589"/>
      <c r="W74" s="558"/>
      <c r="X74" s="589"/>
      <c r="Y74" s="595"/>
      <c r="Z74" s="785"/>
      <c r="AA74" s="785"/>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row>
    <row r="75" spans="1:250" s="1" customFormat="1">
      <c r="A75" s="851"/>
      <c r="B75" s="25" t="str">
        <f>IF(Contents!$B$2=2,"Notes:","Примечания:")</f>
        <v>Примечания:</v>
      </c>
      <c r="C75" s="189"/>
      <c r="D75" s="193"/>
      <c r="E75" s="193"/>
      <c r="F75" s="193"/>
      <c r="G75" s="193"/>
      <c r="H75" s="193"/>
      <c r="I75" s="29"/>
      <c r="J75" s="29"/>
      <c r="K75" s="29"/>
      <c r="L75" s="29"/>
      <c r="M75" s="29"/>
      <c r="N75" s="29"/>
      <c r="O75"/>
      <c r="P75" s="595"/>
      <c r="R75" s="590"/>
      <c r="S75" s="590"/>
      <c r="T75" s="590"/>
      <c r="U75" s="590"/>
      <c r="V75" s="558"/>
      <c r="W75" s="589"/>
      <c r="X75" s="558"/>
      <c r="Y75" s="558"/>
      <c r="Z75" s="785"/>
      <c r="AA75" s="785"/>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row>
    <row r="76" spans="1:250" s="1" customFormat="1">
      <c r="A76" s="851"/>
      <c r="B76" s="26" t="str">
        <f>IF(Contents!$B$2=2,C78,B78)</f>
        <v>Индекс GHG Intensity рассчитывается как отношение прочих косвенных выбросов парниковых газов (область охвата 3) от использования реализованной продукции к объему реализованной продукции. Для учета различных видов органического топлива (нефть и природный газ) их расход приводится к единому энергетическому эквиваленту — баррелю нефтяного эквивалента (бнэ).</v>
      </c>
      <c r="C76" s="189"/>
      <c r="D76" s="193"/>
      <c r="E76" s="193"/>
      <c r="F76" s="193"/>
      <c r="G76" s="193"/>
      <c r="H76" s="193"/>
      <c r="I76" s="29"/>
      <c r="J76" s="29"/>
      <c r="K76" s="29"/>
      <c r="L76" s="29"/>
      <c r="M76" s="29"/>
      <c r="N76" s="29"/>
      <c r="O76"/>
      <c r="P76" s="595"/>
      <c r="R76" s="590"/>
      <c r="S76" s="590"/>
      <c r="T76" s="590"/>
      <c r="U76" s="590"/>
      <c r="V76" s="558"/>
      <c r="W76" s="589"/>
      <c r="X76" s="558"/>
      <c r="Y76" s="558"/>
      <c r="Z76" s="785"/>
      <c r="AA76" s="785"/>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row>
    <row r="77" spans="1:250" s="1" customFormat="1">
      <c r="A77" s="851"/>
      <c r="B77" s="26" t="str">
        <f>IF(Contents!$B$2=2,"Total revenue in RR","Выручка (рубли)")</f>
        <v>Выручка (рубли)</v>
      </c>
      <c r="C77" s="186" t="str">
        <f>IF(Contents!$B$2=2,"RR mln","млн руб.")</f>
        <v>млн руб.</v>
      </c>
      <c r="D77" s="168" t="s">
        <v>185</v>
      </c>
      <c r="E77" s="168" t="s">
        <v>185</v>
      </c>
      <c r="F77" s="10">
        <v>583186</v>
      </c>
      <c r="G77" s="10">
        <v>831758</v>
      </c>
      <c r="H77" s="10">
        <v>862803</v>
      </c>
      <c r="I77" s="10">
        <v>711812</v>
      </c>
      <c r="J77" s="168">
        <v>1156724</v>
      </c>
      <c r="K77" s="168" t="s">
        <v>185</v>
      </c>
      <c r="L77" s="168">
        <v>1371508</v>
      </c>
      <c r="M77" s="168">
        <v>1545851</v>
      </c>
      <c r="N77" s="38">
        <v>1445593</v>
      </c>
      <c r="O77" s="781"/>
      <c r="P77" s="558"/>
      <c r="Q77" s="29"/>
      <c r="R77" s="590"/>
      <c r="S77" s="590"/>
      <c r="T77" s="590"/>
      <c r="U77" s="590"/>
      <c r="V77" s="589"/>
      <c r="W77" s="558"/>
      <c r="X77" s="589"/>
      <c r="Y77" s="595"/>
      <c r="Z77" s="785"/>
      <c r="AA77" s="785"/>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row>
    <row r="78" spans="1:250" ht="22.5" customHeight="1">
      <c r="B78" s="113" t="s">
        <v>61</v>
      </c>
      <c r="C78" s="227" t="s">
        <v>62</v>
      </c>
      <c r="D78" s="194"/>
      <c r="E78" s="194"/>
      <c r="F78" s="194"/>
      <c r="G78" s="194"/>
      <c r="H78" s="194"/>
      <c r="I78" s="195"/>
      <c r="J78" s="195"/>
      <c r="K78" s="195"/>
      <c r="L78" s="29"/>
      <c r="M78" s="29"/>
      <c r="N78" s="29"/>
      <c r="O78"/>
      <c r="P78" s="595"/>
      <c r="Q78" s="1"/>
      <c r="R78" s="590"/>
      <c r="S78" s="590"/>
      <c r="T78" s="590"/>
      <c r="U78" s="590"/>
      <c r="V78" s="558"/>
      <c r="X78" s="558"/>
      <c r="Y78" s="558"/>
    </row>
    <row r="79" spans="1:250" ht="25.5">
      <c r="B79" s="196" t="str">
        <f>IF(Contents!$B$2=2,"Reduction of greenhouse gas emissions","Сокращение выбросов парниковых газов")</f>
        <v>Сокращение выбросов парниковых газов</v>
      </c>
      <c r="C79" s="185"/>
      <c r="D79" s="549"/>
      <c r="E79" s="549"/>
      <c r="F79" s="549"/>
      <c r="G79" s="549"/>
      <c r="H79" s="549"/>
      <c r="I79" s="549"/>
      <c r="J79" s="549"/>
      <c r="K79" s="549"/>
      <c r="L79" s="549"/>
      <c r="M79" s="549"/>
      <c r="N79" s="549"/>
      <c r="O79"/>
      <c r="P79" s="595"/>
      <c r="Q79" s="1"/>
      <c r="R79" s="465" t="s">
        <v>63</v>
      </c>
      <c r="S79" s="590"/>
      <c r="T79" s="590"/>
      <c r="U79" s="465"/>
      <c r="V79" s="558"/>
      <c r="X79" s="558"/>
      <c r="Y79" s="558"/>
    </row>
    <row r="80" spans="1:250">
      <c r="B80" s="23" t="str">
        <f>IF(Contents!$B$2=2,"by mode","по направлениям")</f>
        <v>по направлениям</v>
      </c>
      <c r="C80" s="197"/>
      <c r="D80" s="550"/>
      <c r="E80" s="550"/>
      <c r="F80" s="550"/>
      <c r="G80" s="550"/>
      <c r="H80" s="550"/>
      <c r="I80" s="550"/>
      <c r="J80" s="550"/>
      <c r="K80" s="550"/>
      <c r="L80" s="550"/>
      <c r="M80" s="550"/>
      <c r="N80" s="550"/>
      <c r="O80"/>
      <c r="P80" s="595"/>
      <c r="Q80" s="1"/>
      <c r="R80" s="590"/>
      <c r="S80" s="590"/>
      <c r="T80" s="590"/>
      <c r="U80" s="465"/>
      <c r="V80" s="558"/>
      <c r="X80" s="558"/>
      <c r="Y80" s="558"/>
    </row>
    <row r="81" spans="1:250" s="1" customFormat="1" ht="38.25" customHeight="1">
      <c r="A81" s="851"/>
      <c r="B81" s="198" t="str">
        <f>IF(Contents!$B$2=2,"Use and development of mobile flowback and well testing units without gas emissions into the atmosphere","Использование и освоение передвижных комплексов для замера дебита скважин (ПКДС) без выброса газа в атмосферу")</f>
        <v>Использование и освоение передвижных комплексов для замера дебита скважин (ПКДС) без выброса газа в атмосферу</v>
      </c>
      <c r="C81" s="178" t="str">
        <f>IF(Contents!$B$2=2,"th. tons of CO₂ eq.","тыс. т CO₂-экв.")</f>
        <v>тыс. т CO₂-экв.</v>
      </c>
      <c r="D81" s="168" t="s">
        <v>185</v>
      </c>
      <c r="E81" s="168" t="s">
        <v>185</v>
      </c>
      <c r="F81" s="168" t="s">
        <v>185</v>
      </c>
      <c r="G81" s="168" t="s">
        <v>185</v>
      </c>
      <c r="H81" s="168" t="s">
        <v>185</v>
      </c>
      <c r="I81" s="168" t="s">
        <v>185</v>
      </c>
      <c r="J81" s="168" t="s">
        <v>185</v>
      </c>
      <c r="K81" s="168" t="s">
        <v>185</v>
      </c>
      <c r="L81" s="168" t="s">
        <v>185</v>
      </c>
      <c r="M81" s="168">
        <v>1493</v>
      </c>
      <c r="N81" s="199">
        <v>1349</v>
      </c>
      <c r="O81" s="869"/>
      <c r="P81" s="558" t="s">
        <v>237</v>
      </c>
      <c r="Q81" s="38"/>
      <c r="R81" s="590"/>
      <c r="S81" s="590"/>
      <c r="T81" s="590"/>
      <c r="U81" s="465"/>
      <c r="V81" s="558"/>
      <c r="W81" s="558">
        <v>2</v>
      </c>
      <c r="X81" s="558"/>
      <c r="Y81" s="558"/>
      <c r="Z81" s="785"/>
      <c r="AA81" s="785"/>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row>
    <row r="82" spans="1:250" s="1" customFormat="1" ht="38.25" customHeight="1">
      <c r="A82" s="851"/>
      <c r="B82" s="198" t="str">
        <f>IF(Contents!$B$2=2,"Cogeneration technologies","Технологии когенерации")</f>
        <v>Технологии когенерации</v>
      </c>
      <c r="C82" s="178" t="str">
        <f>IF(Contents!$B$2=2,"th. tons of CO₂ eq.","тыс. т CO₂-экв.")</f>
        <v>тыс. т CO₂-экв.</v>
      </c>
      <c r="D82" s="168" t="s">
        <v>185</v>
      </c>
      <c r="E82" s="168" t="s">
        <v>185</v>
      </c>
      <c r="F82" s="168" t="s">
        <v>185</v>
      </c>
      <c r="G82" s="168" t="s">
        <v>185</v>
      </c>
      <c r="H82" s="168" t="s">
        <v>185</v>
      </c>
      <c r="I82" s="10">
        <v>102</v>
      </c>
      <c r="J82" s="10">
        <v>115</v>
      </c>
      <c r="K82" s="10">
        <v>120</v>
      </c>
      <c r="L82" s="10">
        <v>129</v>
      </c>
      <c r="M82" s="10">
        <v>141</v>
      </c>
      <c r="N82" s="200">
        <v>110</v>
      </c>
      <c r="O82" s="869"/>
      <c r="P82" s="558" t="s">
        <v>237</v>
      </c>
      <c r="Q82" s="38"/>
      <c r="R82" s="465" t="s">
        <v>63</v>
      </c>
      <c r="S82" s="590"/>
      <c r="T82" s="590"/>
      <c r="U82" s="465"/>
      <c r="V82" s="558"/>
      <c r="W82" s="558">
        <v>2</v>
      </c>
      <c r="X82" s="558"/>
      <c r="Y82" s="558"/>
      <c r="Z82" s="785"/>
      <c r="AA82" s="785"/>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row>
    <row r="83" spans="1:250" s="1" customFormat="1" ht="38.25" customHeight="1">
      <c r="A83" s="851"/>
      <c r="B83" s="198" t="str">
        <f>IF(Contents!$B$2=2,"Implementation of the energy saving program","Реализация программы энергосбережения")</f>
        <v>Реализация программы энергосбережения</v>
      </c>
      <c r="C83" s="178" t="str">
        <f>IF(Contents!$B$2=2,"th. tons of CO₂ eq.","тыс. т CO₂-экв.")</f>
        <v>тыс. т CO₂-экв.</v>
      </c>
      <c r="D83" s="168" t="s">
        <v>185</v>
      </c>
      <c r="E83" s="168" t="s">
        <v>185</v>
      </c>
      <c r="F83" s="168" t="s">
        <v>185</v>
      </c>
      <c r="G83" s="168" t="s">
        <v>185</v>
      </c>
      <c r="H83" s="168" t="s">
        <v>185</v>
      </c>
      <c r="I83" s="168" t="s">
        <v>185</v>
      </c>
      <c r="J83" s="168" t="s">
        <v>185</v>
      </c>
      <c r="K83" s="10">
        <v>395.5</v>
      </c>
      <c r="L83" s="10">
        <v>459</v>
      </c>
      <c r="M83" s="10">
        <v>473</v>
      </c>
      <c r="N83" s="784">
        <v>1074</v>
      </c>
      <c r="O83" s="869"/>
      <c r="P83" s="558" t="s">
        <v>237</v>
      </c>
      <c r="Q83" s="38"/>
      <c r="R83" s="465" t="s">
        <v>63</v>
      </c>
      <c r="S83" s="590"/>
      <c r="T83" s="590"/>
      <c r="U83" s="465"/>
      <c r="V83" s="558"/>
      <c r="W83" s="558">
        <v>2</v>
      </c>
      <c r="X83" s="558"/>
      <c r="Y83" s="558"/>
      <c r="Z83" s="785"/>
      <c r="AA83" s="785"/>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row>
    <row r="84" spans="1:250" s="1" customFormat="1" ht="38.25" customHeight="1">
      <c r="A84" s="851"/>
      <c r="B84" s="198" t="str">
        <f>IF(Contents!$B$2=2,"Substitution of standard generation by RES","Замещение стандартной генерации на ВИЭ")</f>
        <v>Замещение стандартной генерации на ВИЭ</v>
      </c>
      <c r="C84" s="178" t="str">
        <f>IF(Contents!$B$2=2,"th. tons of CO₂ eq.","тыс. т CO₂-экв.")</f>
        <v>тыс. т CO₂-экв.</v>
      </c>
      <c r="D84" s="168" t="s">
        <v>185</v>
      </c>
      <c r="E84" s="168" t="s">
        <v>185</v>
      </c>
      <c r="F84" s="168" t="s">
        <v>185</v>
      </c>
      <c r="G84" s="168" t="s">
        <v>185</v>
      </c>
      <c r="H84" s="168" t="s">
        <v>185</v>
      </c>
      <c r="I84" s="168" t="s">
        <v>185</v>
      </c>
      <c r="J84" s="201">
        <v>0.2</v>
      </c>
      <c r="K84" s="201">
        <v>0.3</v>
      </c>
      <c r="L84" s="191">
        <v>8</v>
      </c>
      <c r="M84" s="191">
        <v>14</v>
      </c>
      <c r="N84" s="784" t="s">
        <v>136</v>
      </c>
      <c r="O84" s="869"/>
      <c r="P84" s="558" t="s">
        <v>237</v>
      </c>
      <c r="Q84" s="38"/>
      <c r="R84" s="465" t="s">
        <v>63</v>
      </c>
      <c r="S84" s="590"/>
      <c r="T84" s="590"/>
      <c r="U84" s="465"/>
      <c r="V84" s="558"/>
      <c r="W84" s="558">
        <v>2</v>
      </c>
      <c r="X84" s="558"/>
      <c r="Y84" s="558"/>
      <c r="Z84" s="785"/>
      <c r="AA84" s="785"/>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4"/>
      <c r="IO84" s="14"/>
      <c r="IP84" s="14"/>
    </row>
    <row r="85" spans="1:250" s="1" customFormat="1" ht="50.25" customHeight="1">
      <c r="A85" s="851"/>
      <c r="B85" s="198" t="str">
        <f>IF(Contents!$B$2=2,"Estimated reduction of greenhouse gas emissions by NOVATEK consumers as a result of switching to LNG as a gas engine fuel","Расчетное сокращение выбросов парниковых газов потребителями «НОВАТЭКа» в результате перехода на СПГ в качестве газомоторного топлива")</f>
        <v>Расчетное сокращение выбросов парниковых газов потребителями «НОВАТЭКа» в результате перехода на СПГ в качестве газомоторного топлива</v>
      </c>
      <c r="C85" s="178" t="str">
        <f>IF(Contents!$B$2=2,"th. tons of CO₂ eq.","тыс. т CO₂-экв.")</f>
        <v>тыс. т CO₂-экв.</v>
      </c>
      <c r="D85" s="168" t="s">
        <v>185</v>
      </c>
      <c r="E85" s="168" t="s">
        <v>185</v>
      </c>
      <c r="F85" s="168" t="s">
        <v>185</v>
      </c>
      <c r="G85" s="168" t="s">
        <v>185</v>
      </c>
      <c r="H85" s="168" t="s">
        <v>185</v>
      </c>
      <c r="I85" s="168" t="s">
        <v>185</v>
      </c>
      <c r="J85" s="168" t="s">
        <v>185</v>
      </c>
      <c r="K85" s="191">
        <v>27</v>
      </c>
      <c r="L85" s="191">
        <v>47</v>
      </c>
      <c r="M85" s="191">
        <v>36</v>
      </c>
      <c r="N85" s="784">
        <v>31</v>
      </c>
      <c r="O85" s="869"/>
      <c r="P85" s="558"/>
      <c r="Q85" s="38"/>
      <c r="R85" s="590"/>
      <c r="S85" s="590"/>
      <c r="T85" s="590"/>
      <c r="U85" s="465"/>
      <c r="V85" s="558"/>
      <c r="W85" s="558">
        <v>2</v>
      </c>
      <c r="X85" s="558"/>
      <c r="Y85" s="558"/>
      <c r="Z85" s="785"/>
      <c r="AA85" s="785"/>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row>
    <row r="86" spans="1:250" s="1" customFormat="1" ht="38.25" customHeight="1">
      <c r="A86" s="851"/>
      <c r="B86" s="198" t="str">
        <f>IF(Contents!$B$2=2,"Prevention of emissions by increasing the rational use of APG","Предотвращение выбросов за счет повышения рационального использования ПНГ")</f>
        <v>Предотвращение выбросов за счет повышения рационального использования ПНГ</v>
      </c>
      <c r="C86" s="178" t="str">
        <f>IF(Contents!$B$2=2,"th. tons of CO₂ eq.","тыс. т CO₂-экв.")</f>
        <v>тыс. т CO₂-экв.</v>
      </c>
      <c r="D86" s="168" t="s">
        <v>185</v>
      </c>
      <c r="E86" s="168" t="s">
        <v>185</v>
      </c>
      <c r="F86" s="168" t="s">
        <v>185</v>
      </c>
      <c r="G86" s="168" t="s">
        <v>185</v>
      </c>
      <c r="H86" s="168" t="s">
        <v>185</v>
      </c>
      <c r="I86" s="168" t="s">
        <v>185</v>
      </c>
      <c r="J86" s="168" t="s">
        <v>185</v>
      </c>
      <c r="K86" s="168" t="s">
        <v>185</v>
      </c>
      <c r="L86" s="168" t="s">
        <v>185</v>
      </c>
      <c r="M86" s="168">
        <v>42</v>
      </c>
      <c r="N86" s="784">
        <v>2500</v>
      </c>
      <c r="O86" s="869"/>
      <c r="P86" s="558" t="s">
        <v>183</v>
      </c>
      <c r="Q86" s="38"/>
      <c r="R86" s="590"/>
      <c r="S86" s="590"/>
      <c r="T86" s="590"/>
      <c r="U86" s="465"/>
      <c r="V86" s="558"/>
      <c r="W86" s="558">
        <v>2</v>
      </c>
      <c r="X86" s="558"/>
      <c r="Y86" s="558"/>
      <c r="Z86" s="785"/>
      <c r="AA86" s="785"/>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4"/>
      <c r="IO86" s="14"/>
      <c r="IP86" s="14"/>
    </row>
    <row r="87" spans="1:250" s="1" customFormat="1" ht="38.25" customHeight="1">
      <c r="A87" s="851"/>
      <c r="B87" s="647" t="str">
        <f>IF(Contents!$B$2=2,"Rational use of APG","Рациональное использование ПНГ")</f>
        <v>Рациональное использование ПНГ</v>
      </c>
      <c r="C87" s="178" t="s">
        <v>0</v>
      </c>
      <c r="D87" s="168" t="s">
        <v>185</v>
      </c>
      <c r="E87" s="168" t="s">
        <v>185</v>
      </c>
      <c r="F87" s="168" t="s">
        <v>185</v>
      </c>
      <c r="G87" s="168" t="s">
        <v>185</v>
      </c>
      <c r="H87" s="240">
        <v>95</v>
      </c>
      <c r="I87" s="240">
        <v>96.2</v>
      </c>
      <c r="J87" s="201">
        <v>96.7</v>
      </c>
      <c r="K87" s="201">
        <v>98</v>
      </c>
      <c r="L87" s="201">
        <v>98.4</v>
      </c>
      <c r="M87" s="201">
        <v>98.6</v>
      </c>
      <c r="N87" s="28">
        <v>98.6</v>
      </c>
      <c r="O87" s="869"/>
      <c r="P87" s="558" t="s">
        <v>183</v>
      </c>
      <c r="Q87" s="38"/>
      <c r="R87" s="590"/>
      <c r="S87" s="590"/>
      <c r="T87" s="590"/>
      <c r="U87" s="465"/>
      <c r="V87" s="558"/>
      <c r="W87" s="558">
        <v>2</v>
      </c>
      <c r="X87" s="558"/>
      <c r="Y87" s="558"/>
      <c r="Z87" s="785"/>
      <c r="AA87" s="785"/>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4"/>
      <c r="IO87" s="14"/>
      <c r="IP87" s="14"/>
    </row>
    <row r="88" spans="1:250" s="1" customFormat="1">
      <c r="A88" s="851"/>
      <c r="D88" s="543"/>
      <c r="E88" s="543"/>
      <c r="F88" s="543"/>
      <c r="G88" s="543"/>
      <c r="H88" s="543"/>
      <c r="I88" s="543"/>
      <c r="J88" s="543"/>
      <c r="K88" s="543"/>
      <c r="L88" s="543"/>
      <c r="M88" s="543"/>
      <c r="N88" s="543"/>
      <c r="O88" s="781"/>
      <c r="P88" s="589"/>
      <c r="Q88" s="29"/>
      <c r="R88" s="590"/>
      <c r="S88" s="590"/>
      <c r="T88" s="590"/>
      <c r="U88" s="590"/>
      <c r="V88" s="589"/>
      <c r="W88" s="589"/>
      <c r="X88" s="589"/>
      <c r="Y88" s="595"/>
      <c r="Z88" s="785"/>
      <c r="AA88" s="785"/>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row>
    <row r="89" spans="1:250">
      <c r="B89" s="196" t="str">
        <f>IF(Contents!$B$2=2,"Energy consumption","Потребление энергии")</f>
        <v>Потребление энергии</v>
      </c>
      <c r="C89" s="202"/>
      <c r="D89" s="551"/>
      <c r="E89" s="551"/>
      <c r="F89" s="551"/>
      <c r="G89" s="551"/>
      <c r="H89" s="551"/>
      <c r="I89" s="551"/>
      <c r="J89" s="551"/>
      <c r="K89" s="551"/>
      <c r="L89" s="551"/>
      <c r="M89" s="551"/>
      <c r="N89" s="551"/>
      <c r="O89" s="781"/>
      <c r="P89" s="558"/>
      <c r="Q89" s="29"/>
      <c r="R89" s="590"/>
      <c r="S89" s="590"/>
      <c r="T89" s="590"/>
      <c r="U89" s="590"/>
      <c r="W89" s="558"/>
      <c r="Y89" s="595"/>
    </row>
    <row r="90" spans="1:250" s="1" customFormat="1" ht="51.75" customHeight="1">
      <c r="A90" s="851"/>
      <c r="B90" s="203" t="str">
        <f>IF(Contents!$B$2=2,"Total consumption of heat and electricity","Суммарное потребление тепловой и электрической энергии")</f>
        <v>Суммарное потребление тепловой и электрической энергии</v>
      </c>
      <c r="C90" s="12" t="str">
        <f>IF(Contents!$B$2=2,"th. GJ","тыс. ГДж")</f>
        <v>тыс. ГДж</v>
      </c>
      <c r="D90" s="101">
        <v>3864</v>
      </c>
      <c r="E90" s="101">
        <v>4200</v>
      </c>
      <c r="F90" s="101">
        <v>4215</v>
      </c>
      <c r="G90" s="101">
        <v>10377</v>
      </c>
      <c r="H90" s="101">
        <v>12907</v>
      </c>
      <c r="I90" s="101">
        <v>13484</v>
      </c>
      <c r="J90" s="101">
        <v>15474</v>
      </c>
      <c r="K90" s="101">
        <v>16685</v>
      </c>
      <c r="L90" s="101">
        <v>12257</v>
      </c>
      <c r="M90" s="101">
        <v>13141</v>
      </c>
      <c r="N90" s="204">
        <v>14151</v>
      </c>
      <c r="O90" s="781"/>
      <c r="P90" s="558" t="str">
        <f>IF(Contents!$B$2=2,"Yes","Да")</f>
        <v>Да</v>
      </c>
      <c r="Q90" s="29"/>
      <c r="R90" s="465" t="s">
        <v>64</v>
      </c>
      <c r="S90" s="493"/>
      <c r="T90" s="465" t="s">
        <v>65</v>
      </c>
      <c r="U90" s="273" t="str">
        <f>IF(Contents!$B$2=2,"PBCS 13","СОКБ 13")</f>
        <v>СОКБ 13</v>
      </c>
      <c r="V90" s="589"/>
      <c r="W90" s="558">
        <v>2</v>
      </c>
      <c r="X90" s="589"/>
      <c r="Y90" s="595"/>
      <c r="Z90" s="785"/>
      <c r="AA90" s="785"/>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row>
    <row r="91" spans="1:250" ht="18.75" customHeight="1">
      <c r="B91" s="23" t="str">
        <f>IF(Contents!$B$2=2,"by type","по видам")</f>
        <v>по видам</v>
      </c>
      <c r="C91" s="13"/>
      <c r="D91" s="550"/>
      <c r="E91" s="550"/>
      <c r="F91" s="550"/>
      <c r="G91" s="550"/>
      <c r="H91" s="550"/>
      <c r="I91" s="550"/>
      <c r="J91" s="550"/>
      <c r="K91" s="550"/>
      <c r="L91" s="550"/>
      <c r="M91" s="550"/>
      <c r="N91" s="550"/>
      <c r="O91"/>
      <c r="P91" s="595"/>
      <c r="Q91" s="29"/>
      <c r="R91" s="590"/>
      <c r="S91" s="590"/>
      <c r="T91" s="590"/>
      <c r="U91" s="273"/>
      <c r="V91" s="558"/>
      <c r="W91" s="558"/>
      <c r="X91" s="558"/>
      <c r="Y91" s="558"/>
    </row>
    <row r="92" spans="1:250" s="1" customFormat="1" ht="25.5" customHeight="1">
      <c r="A92" s="851"/>
      <c r="B92" s="177" t="str">
        <f>IF(Contents!$B$2=2,"Electricity","Электроэнергия")</f>
        <v>Электроэнергия</v>
      </c>
      <c r="C92" s="12" t="str">
        <f>IF(Contents!$B$2=2,"th. GJ","тыс. ГДж")</f>
        <v>тыс. ГДж</v>
      </c>
      <c r="D92" s="205">
        <v>2118</v>
      </c>
      <c r="E92" s="205">
        <v>2370</v>
      </c>
      <c r="F92" s="205">
        <v>2433</v>
      </c>
      <c r="G92" s="205">
        <v>6745</v>
      </c>
      <c r="H92" s="205">
        <v>9654</v>
      </c>
      <c r="I92" s="205">
        <v>10539</v>
      </c>
      <c r="J92" s="205">
        <v>11961</v>
      </c>
      <c r="K92" s="205">
        <v>13128</v>
      </c>
      <c r="L92" s="101">
        <v>9249</v>
      </c>
      <c r="M92" s="101">
        <v>9901</v>
      </c>
      <c r="N92" s="206">
        <v>10311</v>
      </c>
      <c r="O92" s="781"/>
      <c r="P92" s="558" t="str">
        <f>IF(Contents!$B$2=2,"Yes","Да")</f>
        <v>Да</v>
      </c>
      <c r="Q92" s="29"/>
      <c r="R92" s="465" t="s">
        <v>64</v>
      </c>
      <c r="S92" s="493"/>
      <c r="T92" s="465" t="s">
        <v>65</v>
      </c>
      <c r="U92" s="273" t="str">
        <f>IF(Contents!$B$2=2,"PBCS 13","СОКБ 13")</f>
        <v>СОКБ 13</v>
      </c>
      <c r="V92" s="589"/>
      <c r="W92" s="558">
        <v>2</v>
      </c>
      <c r="X92" s="589"/>
      <c r="Y92" s="595"/>
      <c r="Z92" s="785"/>
      <c r="AA92" s="785"/>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row>
    <row r="93" spans="1:250" s="1" customFormat="1" ht="18.75" customHeight="1">
      <c r="A93" s="847"/>
      <c r="B93" s="207" t="str">
        <f>IF(Contents!$B$2=2,"Purchased electricity, including","Закупленная электроэнергия, в т.ч.")</f>
        <v>Закупленная электроэнергия, в т.ч.</v>
      </c>
      <c r="C93" s="12" t="str">
        <f>IF(Contents!$B$2=2,"th. GJ","тыс. ГДж")</f>
        <v>тыс. ГДж</v>
      </c>
      <c r="D93" s="168" t="s">
        <v>185</v>
      </c>
      <c r="E93" s="168" t="s">
        <v>185</v>
      </c>
      <c r="F93" s="168" t="s">
        <v>185</v>
      </c>
      <c r="G93" s="168" t="s">
        <v>185</v>
      </c>
      <c r="H93" s="205">
        <v>1440</v>
      </c>
      <c r="I93" s="208">
        <v>1793</v>
      </c>
      <c r="J93" s="208">
        <v>2325</v>
      </c>
      <c r="K93" s="208">
        <v>2606</v>
      </c>
      <c r="L93" s="208">
        <v>2640</v>
      </c>
      <c r="M93" s="208">
        <v>2630</v>
      </c>
      <c r="N93" s="209">
        <v>2430</v>
      </c>
      <c r="O93" s="781"/>
      <c r="P93" s="558" t="str">
        <f>IF(Contents!$B$2=2,"Yes","Да")</f>
        <v>Да</v>
      </c>
      <c r="Q93" s="29"/>
      <c r="R93" s="590"/>
      <c r="S93" s="590"/>
      <c r="T93" s="590"/>
      <c r="U93" s="590"/>
      <c r="V93" s="589"/>
      <c r="W93" s="558">
        <v>2</v>
      </c>
      <c r="X93" s="589"/>
      <c r="Y93" s="595"/>
      <c r="Z93" s="785"/>
      <c r="AA93" s="785"/>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row>
    <row r="94" spans="1:250" s="1" customFormat="1" ht="37.5" customHeight="1">
      <c r="A94" s="847"/>
      <c r="B94" s="210" t="str">
        <f>IF(Contents!$B$2=2,"Low-carbon energy purchased with acquisition of generation attributes","Низкоуглеродная энергия, закупленная с приобретением атрибутов генерации")</f>
        <v>Низкоуглеродная энергия, закупленная с приобретением атрибутов генерации</v>
      </c>
      <c r="C94" s="12" t="str">
        <f>IF(Contents!$B$2=2,"th. GJ","тыс. ГДж")</f>
        <v>тыс. ГДж</v>
      </c>
      <c r="D94" s="168" t="s">
        <v>185</v>
      </c>
      <c r="E94" s="168" t="s">
        <v>185</v>
      </c>
      <c r="F94" s="168" t="s">
        <v>185</v>
      </c>
      <c r="G94" s="168" t="s">
        <v>185</v>
      </c>
      <c r="H94" s="168" t="s">
        <v>185</v>
      </c>
      <c r="I94" s="168" t="s">
        <v>185</v>
      </c>
      <c r="J94" s="168" t="s">
        <v>185</v>
      </c>
      <c r="K94" s="168">
        <v>0</v>
      </c>
      <c r="L94" s="168">
        <v>0</v>
      </c>
      <c r="M94" s="168">
        <v>256</v>
      </c>
      <c r="N94" s="209" t="s">
        <v>136</v>
      </c>
      <c r="O94" s="781"/>
      <c r="P94" s="558" t="str">
        <f>IF(Contents!$B$2=2,"Yes","Да")</f>
        <v>Да</v>
      </c>
      <c r="Q94" s="29"/>
      <c r="R94" s="590"/>
      <c r="S94" s="590"/>
      <c r="T94" s="590"/>
      <c r="U94" s="590"/>
      <c r="V94" s="589"/>
      <c r="W94" s="558">
        <v>2</v>
      </c>
      <c r="X94" s="589"/>
      <c r="Y94" s="595"/>
      <c r="Z94" s="785"/>
      <c r="AA94" s="785"/>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row>
    <row r="95" spans="1:250" s="1" customFormat="1" ht="37.5" customHeight="1">
      <c r="A95" s="847"/>
      <c r="B95" s="210" t="str">
        <f>IF(Contents!$B$2=2,"Energy from RES purchased under the scheme of free bilateral purchase agreements (BPAs)","Энергия из ВИЭ, закупленная по схеме свободных двусторонних договоров купли-продажи (СДД)")</f>
        <v>Энергия из ВИЭ, закупленная по схеме свободных двусторонних договоров купли-продажи (СДД)</v>
      </c>
      <c r="C95" s="12" t="str">
        <f>IF(Contents!$B$2=2,"th. GJ","тыс. ГДж")</f>
        <v>тыс. ГДж</v>
      </c>
      <c r="D95" s="168" t="s">
        <v>185</v>
      </c>
      <c r="E95" s="168" t="s">
        <v>185</v>
      </c>
      <c r="F95" s="168" t="s">
        <v>185</v>
      </c>
      <c r="G95" s="168" t="s">
        <v>185</v>
      </c>
      <c r="H95" s="168" t="s">
        <v>185</v>
      </c>
      <c r="I95" s="168" t="s">
        <v>185</v>
      </c>
      <c r="J95" s="168" t="s">
        <v>185</v>
      </c>
      <c r="K95" s="208">
        <v>83</v>
      </c>
      <c r="L95" s="208">
        <v>228</v>
      </c>
      <c r="M95" s="208">
        <v>0</v>
      </c>
      <c r="N95" s="199" t="s">
        <v>136</v>
      </c>
      <c r="O95" s="781"/>
      <c r="P95" s="558" t="str">
        <f>IF(Contents!$B$2=2,"Yes","Да")</f>
        <v>Да</v>
      </c>
      <c r="Q95" s="29"/>
      <c r="R95" s="590" t="s">
        <v>52</v>
      </c>
      <c r="S95" s="590"/>
      <c r="T95" s="590"/>
      <c r="U95" s="590"/>
      <c r="V95" s="589"/>
      <c r="W95" s="558">
        <v>2</v>
      </c>
      <c r="X95" s="589"/>
      <c r="Y95" s="595"/>
      <c r="Z95" s="785"/>
      <c r="AA95" s="785"/>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row>
    <row r="96" spans="1:250" s="1" customFormat="1" ht="37.5" customHeight="1">
      <c r="A96" s="847"/>
      <c r="B96" s="210" t="str">
        <f>IF(Contents!$B$2=2,"Energy purchased under the scheme of free bilateral purchase agreements (BPAs)","Энергия, закупленная по схеме свободных двусторонних договоров купли-продажи (СДД)")</f>
        <v>Энергия, закупленная по схеме свободных двусторонних договоров купли-продажи (СДД)</v>
      </c>
      <c r="C96" s="12" t="str">
        <f>IF(Contents!$B$2=2,"th. GJ","тыс. ГДж")</f>
        <v>тыс. ГДж</v>
      </c>
      <c r="D96" s="168" t="s">
        <v>185</v>
      </c>
      <c r="E96" s="168" t="s">
        <v>185</v>
      </c>
      <c r="F96" s="168" t="s">
        <v>185</v>
      </c>
      <c r="G96" s="168" t="s">
        <v>185</v>
      </c>
      <c r="H96" s="168" t="s">
        <v>185</v>
      </c>
      <c r="I96" s="168" t="s">
        <v>185</v>
      </c>
      <c r="J96" s="168" t="s">
        <v>185</v>
      </c>
      <c r="K96" s="168">
        <v>0</v>
      </c>
      <c r="L96" s="168">
        <v>0</v>
      </c>
      <c r="M96" s="168">
        <v>288</v>
      </c>
      <c r="N96" s="200" t="s">
        <v>136</v>
      </c>
      <c r="O96" s="781"/>
      <c r="P96" s="558" t="str">
        <f>IF(Contents!$B$2=2,"Yes","Да")</f>
        <v>Да</v>
      </c>
      <c r="Q96" s="29"/>
      <c r="R96" s="590"/>
      <c r="S96" s="590"/>
      <c r="T96" s="590"/>
      <c r="U96" s="590"/>
      <c r="V96" s="589"/>
      <c r="W96" s="558">
        <v>2</v>
      </c>
      <c r="X96" s="589"/>
      <c r="Y96" s="595"/>
      <c r="Z96" s="785"/>
      <c r="AA96" s="785"/>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row>
    <row r="97" spans="1:250" s="1" customFormat="1" ht="37.5" customHeight="1">
      <c r="A97" s="847"/>
      <c r="B97" s="211" t="str">
        <f>IF(Contents!$B$2=2,"Supporting electricity generation from non-renewable energy sources","Обеспечивающая генерация электроэнергии из невозобновляемых источников энергии")</f>
        <v>Обеспечивающая генерация электроэнергии из невозобновляемых источников энергии</v>
      </c>
      <c r="C97" s="12" t="str">
        <f>IF(Contents!$B$2=2,"th. GJ","тыс. ГДж")</f>
        <v>тыс. ГДж</v>
      </c>
      <c r="D97" s="168" t="s">
        <v>185</v>
      </c>
      <c r="E97" s="168" t="s">
        <v>185</v>
      </c>
      <c r="F97" s="168" t="s">
        <v>185</v>
      </c>
      <c r="G97" s="168" t="s">
        <v>185</v>
      </c>
      <c r="H97" s="205">
        <v>8280</v>
      </c>
      <c r="I97" s="208">
        <v>8837</v>
      </c>
      <c r="J97" s="208">
        <v>9733</v>
      </c>
      <c r="K97" s="208">
        <v>10629</v>
      </c>
      <c r="L97" s="208">
        <v>6660</v>
      </c>
      <c r="M97" s="208">
        <v>7320</v>
      </c>
      <c r="N97" s="927">
        <v>7940</v>
      </c>
      <c r="O97" s="781"/>
      <c r="P97" s="558" t="str">
        <f>IF(Contents!$B$2=2,"Yes","Да")</f>
        <v>Да</v>
      </c>
      <c r="Q97" s="29"/>
      <c r="R97" s="788"/>
      <c r="S97" s="590"/>
      <c r="T97" s="590"/>
      <c r="U97" s="590"/>
      <c r="V97" s="589"/>
      <c r="W97" s="558">
        <v>2</v>
      </c>
      <c r="X97" s="589"/>
      <c r="Y97" s="595"/>
      <c r="Z97" s="785"/>
      <c r="AA97" s="785"/>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row>
    <row r="98" spans="1:250" s="1" customFormat="1" ht="30" customHeight="1">
      <c r="A98" s="847"/>
      <c r="B98" s="211" t="str">
        <f>IF(Contents!$B$2=2,"Supporting electricity generation from RES","Обеспечивающая генерация электроэнергии из ВИЭ")</f>
        <v>Обеспечивающая генерация электроэнергии из ВИЭ</v>
      </c>
      <c r="C98" s="12" t="str">
        <f>IF(Contents!$B$2=2,"th. GJ","тыс. ГДж")</f>
        <v>тыс. ГДж</v>
      </c>
      <c r="D98" s="168" t="s">
        <v>185</v>
      </c>
      <c r="E98" s="168" t="s">
        <v>185</v>
      </c>
      <c r="F98" s="168" t="s">
        <v>185</v>
      </c>
      <c r="G98" s="168" t="s">
        <v>185</v>
      </c>
      <c r="H98" s="212">
        <v>1</v>
      </c>
      <c r="I98" s="212">
        <v>1</v>
      </c>
      <c r="J98" s="212">
        <v>1</v>
      </c>
      <c r="K98" s="212">
        <v>1</v>
      </c>
      <c r="L98" s="208">
        <v>1</v>
      </c>
      <c r="M98" s="208">
        <v>1</v>
      </c>
      <c r="N98" s="27">
        <v>1</v>
      </c>
      <c r="O98" s="781"/>
      <c r="P98" s="558" t="str">
        <f>IF(Contents!$B$2=2,"Yes","Да")</f>
        <v>Да</v>
      </c>
      <c r="Q98" s="29"/>
      <c r="R98" s="590"/>
      <c r="S98" s="590"/>
      <c r="T98" s="590"/>
      <c r="U98" s="590"/>
      <c r="V98" s="589"/>
      <c r="W98" s="558">
        <v>2</v>
      </c>
      <c r="X98" s="589"/>
      <c r="Y98" s="595"/>
      <c r="Z98" s="785"/>
      <c r="AA98" s="785"/>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row>
    <row r="99" spans="1:250" s="1" customFormat="1" ht="18.75" customHeight="1">
      <c r="A99" s="847"/>
      <c r="B99" s="207" t="str">
        <f>IF(Contents!$B$2=2,"Sale of electiricity","Продажа электроэнергии")</f>
        <v>Продажа электроэнергии</v>
      </c>
      <c r="C99" s="12" t="str">
        <f>IF(Contents!$B$2=2,"th. GJ","тыс. ГДж")</f>
        <v>тыс. ГДж</v>
      </c>
      <c r="D99" s="168" t="s">
        <v>185</v>
      </c>
      <c r="E99" s="168" t="s">
        <v>185</v>
      </c>
      <c r="F99" s="168" t="s">
        <v>185</v>
      </c>
      <c r="G99" s="168" t="s">
        <v>185</v>
      </c>
      <c r="H99" s="205">
        <v>67</v>
      </c>
      <c r="I99" s="208">
        <v>92</v>
      </c>
      <c r="J99" s="208">
        <v>98</v>
      </c>
      <c r="K99" s="208">
        <v>108</v>
      </c>
      <c r="L99" s="208">
        <v>52</v>
      </c>
      <c r="M99" s="208">
        <v>50</v>
      </c>
      <c r="N99" s="200">
        <v>60</v>
      </c>
      <c r="O99" s="781"/>
      <c r="P99" s="558" t="str">
        <f>IF(Contents!$B$2=2,"Yes","Да")</f>
        <v>Да</v>
      </c>
      <c r="Q99" s="29"/>
      <c r="R99" s="590"/>
      <c r="S99" s="590"/>
      <c r="T99" s="590"/>
      <c r="U99" s="590"/>
      <c r="V99" s="589"/>
      <c r="W99" s="558">
        <v>2</v>
      </c>
      <c r="X99" s="589"/>
      <c r="Y99" s="595"/>
      <c r="Z99" s="785"/>
      <c r="AA99" s="785"/>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row>
    <row r="100" spans="1:250" s="1" customFormat="1" ht="25.5" customHeight="1">
      <c r="A100" s="847"/>
      <c r="B100" s="177" t="str">
        <f>IF(Contents!$B$2=2,"Heat","Тепловая энергия")</f>
        <v>Тепловая энергия</v>
      </c>
      <c r="C100" s="12" t="str">
        <f>IF(Contents!$B$2=2,"th. GJ","тыс. ГДж")</f>
        <v>тыс. ГДж</v>
      </c>
      <c r="D100" s="205">
        <v>1746</v>
      </c>
      <c r="E100" s="205">
        <v>1830</v>
      </c>
      <c r="F100" s="205">
        <v>1782</v>
      </c>
      <c r="G100" s="205">
        <v>3632</v>
      </c>
      <c r="H100" s="205">
        <v>3253</v>
      </c>
      <c r="I100" s="205">
        <v>2945</v>
      </c>
      <c r="J100" s="205">
        <v>3513</v>
      </c>
      <c r="K100" s="205">
        <v>3557</v>
      </c>
      <c r="L100" s="205">
        <v>3008</v>
      </c>
      <c r="M100" s="205">
        <v>3240</v>
      </c>
      <c r="N100" s="206">
        <v>3840</v>
      </c>
      <c r="O100" s="781"/>
      <c r="P100" s="558" t="str">
        <f>IF(Contents!$B$2=2,"Yes","Да")</f>
        <v>Да</v>
      </c>
      <c r="Q100" s="29"/>
      <c r="R100" s="465" t="s">
        <v>64</v>
      </c>
      <c r="S100" s="493"/>
      <c r="T100" s="465" t="s">
        <v>65</v>
      </c>
      <c r="U100" s="273" t="str">
        <f>IF(Contents!$B$2=2,"PBCS 13","СОКБ 13")</f>
        <v>СОКБ 13</v>
      </c>
      <c r="V100" s="589"/>
      <c r="W100" s="558">
        <v>2</v>
      </c>
      <c r="X100" s="589"/>
      <c r="Y100" s="595"/>
      <c r="Z100" s="785"/>
      <c r="AA100" s="785"/>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row>
    <row r="101" spans="1:250" s="1" customFormat="1" ht="37.5" customHeight="1">
      <c r="A101" s="847"/>
      <c r="B101" s="211" t="str">
        <f>IF(Contents!$B$2=2,"Supporting generation (production) of heat energy from non-renewable energy sources","Обеспечивающая генерация (производство) тепловой энергии из невозобновляемых источников энергии")</f>
        <v>Обеспечивающая генерация (производство) тепловой энергии из невозобновляемых источников энергии</v>
      </c>
      <c r="C101" s="12" t="str">
        <f>IF(Contents!$B$2=2,"th. GJ","тыс. ГДж")</f>
        <v>тыс. ГДж</v>
      </c>
      <c r="D101" s="168" t="s">
        <v>185</v>
      </c>
      <c r="E101" s="168" t="s">
        <v>185</v>
      </c>
      <c r="F101" s="168" t="s">
        <v>185</v>
      </c>
      <c r="G101" s="168" t="s">
        <v>185</v>
      </c>
      <c r="H101" s="205">
        <v>976</v>
      </c>
      <c r="I101" s="205">
        <v>933</v>
      </c>
      <c r="J101" s="208">
        <v>1104</v>
      </c>
      <c r="K101" s="208">
        <v>990</v>
      </c>
      <c r="L101" s="208">
        <v>982</v>
      </c>
      <c r="M101" s="208">
        <v>930</v>
      </c>
      <c r="N101" s="209">
        <v>1500</v>
      </c>
      <c r="O101" s="781"/>
      <c r="P101" s="558" t="str">
        <f>IF(Contents!$B$2=2,"Yes","Да")</f>
        <v>Да</v>
      </c>
      <c r="Q101" s="29"/>
      <c r="R101" s="590"/>
      <c r="S101" s="590"/>
      <c r="T101" s="590"/>
      <c r="U101" s="590"/>
      <c r="V101" s="589"/>
      <c r="W101" s="558">
        <v>2</v>
      </c>
      <c r="X101" s="589"/>
      <c r="Y101" s="595"/>
      <c r="Z101" s="785"/>
      <c r="AA101" s="785"/>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row>
    <row r="102" spans="1:250" s="1" customFormat="1" ht="37.5" customHeight="1">
      <c r="A102" s="847"/>
      <c r="B102" s="211" t="str">
        <f>IF(Contents!$B$2=2,"Supporting generation (production) of heat energy from secondary energy resources","Обеспечивающая генерация (производство) тепловой энергии из вторичных энергоресурсов")</f>
        <v>Обеспечивающая генерация (производство) тепловой энергии из вторичных энергоресурсов</v>
      </c>
      <c r="C102" s="12" t="str">
        <f>IF(Contents!$B$2=2,"th. GJ","тыс. ГДж")</f>
        <v>тыс. ГДж</v>
      </c>
      <c r="D102" s="168" t="s">
        <v>185</v>
      </c>
      <c r="E102" s="168" t="s">
        <v>185</v>
      </c>
      <c r="F102" s="168" t="s">
        <v>185</v>
      </c>
      <c r="G102" s="168" t="s">
        <v>185</v>
      </c>
      <c r="H102" s="205">
        <v>2277</v>
      </c>
      <c r="I102" s="208">
        <v>2012</v>
      </c>
      <c r="J102" s="208">
        <v>2409</v>
      </c>
      <c r="K102" s="208">
        <v>2490</v>
      </c>
      <c r="L102" s="208">
        <v>1996</v>
      </c>
      <c r="M102" s="208">
        <v>2250</v>
      </c>
      <c r="N102" s="209">
        <v>2280</v>
      </c>
      <c r="O102" s="781"/>
      <c r="P102" s="558" t="str">
        <f>IF(Contents!$B$2=2,"Yes","Да")</f>
        <v>Да</v>
      </c>
      <c r="Q102" s="29"/>
      <c r="R102" s="590"/>
      <c r="S102" s="590"/>
      <c r="T102" s="590"/>
      <c r="U102" s="590"/>
      <c r="V102" s="589"/>
      <c r="W102" s="558">
        <v>2</v>
      </c>
      <c r="X102" s="589"/>
      <c r="Y102" s="595"/>
      <c r="Z102" s="785"/>
      <c r="AA102" s="785"/>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row>
    <row r="103" spans="1:250" s="1" customFormat="1" ht="18.75" customHeight="1">
      <c r="A103" s="847"/>
      <c r="B103" s="207" t="str">
        <f>IF(Contents!$B$2=2,"Purchase of heat energy","Покупка тепловой энергии")</f>
        <v>Покупка тепловой энергии</v>
      </c>
      <c r="C103" s="12" t="str">
        <f>IF(Contents!$B$2=2,"th. GJ","тыс. ГДж")</f>
        <v>тыс. ГДж</v>
      </c>
      <c r="D103" s="168" t="s">
        <v>185</v>
      </c>
      <c r="E103" s="168" t="s">
        <v>185</v>
      </c>
      <c r="F103" s="168" t="s">
        <v>185</v>
      </c>
      <c r="G103" s="168" t="s">
        <v>185</v>
      </c>
      <c r="H103" s="168" t="s">
        <v>185</v>
      </c>
      <c r="I103" s="168" t="s">
        <v>185</v>
      </c>
      <c r="J103" s="168" t="s">
        <v>185</v>
      </c>
      <c r="K103" s="208">
        <v>77</v>
      </c>
      <c r="L103" s="208">
        <v>30</v>
      </c>
      <c r="M103" s="208">
        <v>60</v>
      </c>
      <c r="N103" s="200">
        <v>60</v>
      </c>
      <c r="O103" s="781"/>
      <c r="P103" s="558" t="str">
        <f>IF(Contents!$B$2=2,"Yes","Да")</f>
        <v>Да</v>
      </c>
      <c r="Q103" s="29"/>
      <c r="R103" s="590" t="s">
        <v>52</v>
      </c>
      <c r="S103" s="590"/>
      <c r="T103" s="590"/>
      <c r="U103" s="590"/>
      <c r="V103" s="589"/>
      <c r="W103" s="558">
        <v>2</v>
      </c>
      <c r="X103" s="589"/>
      <c r="Y103" s="595"/>
      <c r="Z103" s="785"/>
      <c r="AA103" s="785"/>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row>
    <row r="104" spans="1:250" ht="18" customHeight="1">
      <c r="A104" s="850"/>
      <c r="B104" s="23" t="str">
        <f>IF(Contents!$B$2=2,"by facilities","по сегментам")</f>
        <v>по сегментам</v>
      </c>
      <c r="C104" s="13"/>
      <c r="D104" s="550"/>
      <c r="E104" s="550"/>
      <c r="F104" s="550"/>
      <c r="G104" s="550"/>
      <c r="H104" s="552"/>
      <c r="I104" s="552"/>
      <c r="J104" s="552"/>
      <c r="K104" s="552"/>
      <c r="L104" s="552"/>
      <c r="M104" s="552"/>
      <c r="N104" s="552"/>
      <c r="O104" s="781"/>
      <c r="P104" s="558"/>
      <c r="Q104" s="29"/>
      <c r="R104" s="590"/>
      <c r="S104" s="590"/>
      <c r="T104" s="590"/>
      <c r="U104" s="590"/>
      <c r="W104" s="558"/>
      <c r="Y104" s="595"/>
    </row>
    <row r="105" spans="1:250" s="1" customFormat="1">
      <c r="A105" s="850"/>
      <c r="B105" s="177" t="str">
        <f>IF(Contents!$B$2=2,"Production / Upstream facilities","Предприятия добычи")</f>
        <v>Предприятия добычи</v>
      </c>
      <c r="C105" s="12" t="str">
        <f>IF(Contents!$B$2=2,"th. GJ","тыс. ГДж")</f>
        <v>тыс. ГДж</v>
      </c>
      <c r="D105" s="168" t="s">
        <v>185</v>
      </c>
      <c r="E105" s="168" t="s">
        <v>185</v>
      </c>
      <c r="F105" s="168" t="s">
        <v>185</v>
      </c>
      <c r="G105" s="168" t="s">
        <v>185</v>
      </c>
      <c r="H105" s="205">
        <v>4831</v>
      </c>
      <c r="I105" s="213">
        <v>4690</v>
      </c>
      <c r="J105" s="208">
        <v>5254</v>
      </c>
      <c r="K105" s="208">
        <v>5306</v>
      </c>
      <c r="L105" s="208">
        <v>4349</v>
      </c>
      <c r="M105" s="208">
        <v>4811</v>
      </c>
      <c r="N105" s="209">
        <v>4880</v>
      </c>
      <c r="O105" s="781"/>
      <c r="P105" s="558"/>
      <c r="Q105" s="29"/>
      <c r="R105" s="590"/>
      <c r="S105" s="590"/>
      <c r="T105" s="590"/>
      <c r="U105" s="590"/>
      <c r="V105" s="589"/>
      <c r="W105" s="558">
        <v>2</v>
      </c>
      <c r="X105" s="589"/>
      <c r="Y105" s="595"/>
      <c r="Z105" s="785"/>
      <c r="AA105" s="785"/>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row>
    <row r="106" spans="1:250" s="1" customFormat="1">
      <c r="A106" s="850"/>
      <c r="B106" s="177" t="str">
        <f>IF(Contents!$B$2=2,"Processing / Downstream facilities","Предприятия переработки")</f>
        <v>Предприятия переработки</v>
      </c>
      <c r="C106" s="12" t="str">
        <f>IF(Contents!$B$2=2,"th. GJ","тыс. ГДж")</f>
        <v>тыс. ГДж</v>
      </c>
      <c r="D106" s="168" t="s">
        <v>185</v>
      </c>
      <c r="E106" s="168" t="s">
        <v>185</v>
      </c>
      <c r="F106" s="168" t="s">
        <v>185</v>
      </c>
      <c r="G106" s="168" t="s">
        <v>185</v>
      </c>
      <c r="H106" s="205">
        <v>926</v>
      </c>
      <c r="I106" s="213">
        <v>928</v>
      </c>
      <c r="J106" s="208">
        <v>988</v>
      </c>
      <c r="K106" s="208">
        <v>1005</v>
      </c>
      <c r="L106" s="208">
        <v>1199</v>
      </c>
      <c r="M106" s="208">
        <v>1277</v>
      </c>
      <c r="N106" s="209">
        <v>1290</v>
      </c>
      <c r="O106" s="781"/>
      <c r="P106" s="558"/>
      <c r="Q106" s="29"/>
      <c r="R106" s="590"/>
      <c r="S106" s="590"/>
      <c r="T106" s="590"/>
      <c r="U106" s="590"/>
      <c r="V106" s="589"/>
      <c r="W106" s="558">
        <v>2</v>
      </c>
      <c r="X106" s="589"/>
      <c r="Y106" s="595"/>
      <c r="Z106" s="785"/>
      <c r="AA106" s="785"/>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row>
    <row r="107" spans="1:250" s="1" customFormat="1">
      <c r="A107" s="850"/>
      <c r="B107" s="177" t="str">
        <f>IF(Contents!$B$2=2,"LNG production facilities","Производство СПГ")</f>
        <v>Производство СПГ</v>
      </c>
      <c r="C107" s="12" t="str">
        <f>IF(Contents!$B$2=2,"th. GJ","тыс. ГДж")</f>
        <v>тыс. ГДж</v>
      </c>
      <c r="D107" s="168" t="s">
        <v>185</v>
      </c>
      <c r="E107" s="168" t="s">
        <v>185</v>
      </c>
      <c r="F107" s="168" t="s">
        <v>185</v>
      </c>
      <c r="G107" s="168" t="s">
        <v>185</v>
      </c>
      <c r="H107" s="205">
        <v>7139</v>
      </c>
      <c r="I107" s="213">
        <v>7379</v>
      </c>
      <c r="J107" s="208">
        <v>8040</v>
      </c>
      <c r="K107" s="208">
        <v>8785</v>
      </c>
      <c r="L107" s="208">
        <v>5186</v>
      </c>
      <c r="M107" s="208">
        <v>5766</v>
      </c>
      <c r="N107" s="209">
        <v>7011</v>
      </c>
      <c r="O107" s="781"/>
      <c r="P107" s="558"/>
      <c r="Q107" s="29"/>
      <c r="R107" s="590"/>
      <c r="S107" s="590"/>
      <c r="T107" s="590"/>
      <c r="U107" s="590"/>
      <c r="V107" s="589"/>
      <c r="W107" s="558">
        <v>2</v>
      </c>
      <c r="X107" s="589"/>
      <c r="Y107" s="589"/>
      <c r="Z107" s="785"/>
      <c r="AA107" s="785"/>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row>
    <row r="108" spans="1:250" s="1" customFormat="1" ht="25.5" customHeight="1">
      <c r="A108" s="850"/>
      <c r="B108" s="214" t="str">
        <f>IF(Contents!$B$2=2,"Other","Прочие")</f>
        <v>Прочие</v>
      </c>
      <c r="C108" s="12" t="str">
        <f>IF(Contents!$B$2=2,"th. GJ","тыс. ГДж")</f>
        <v>тыс. ГДж</v>
      </c>
      <c r="D108" s="168" t="s">
        <v>185</v>
      </c>
      <c r="E108" s="168" t="s">
        <v>185</v>
      </c>
      <c r="F108" s="168" t="s">
        <v>185</v>
      </c>
      <c r="G108" s="168" t="s">
        <v>185</v>
      </c>
      <c r="H108" s="205">
        <v>46</v>
      </c>
      <c r="I108" s="213">
        <v>487</v>
      </c>
      <c r="J108" s="208">
        <v>1192</v>
      </c>
      <c r="K108" s="208">
        <v>1590</v>
      </c>
      <c r="L108" s="208">
        <v>1653</v>
      </c>
      <c r="M108" s="208">
        <v>1287</v>
      </c>
      <c r="N108" s="209">
        <v>970</v>
      </c>
      <c r="O108" s="883"/>
      <c r="P108" s="558"/>
      <c r="Q108" s="29"/>
      <c r="R108" s="590"/>
      <c r="S108" s="590"/>
      <c r="T108" s="590"/>
      <c r="U108" s="590"/>
      <c r="V108" s="589"/>
      <c r="W108" s="558">
        <v>2</v>
      </c>
      <c r="X108" s="589"/>
      <c r="Y108" s="589"/>
      <c r="Z108" s="785"/>
      <c r="AA108" s="785"/>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row>
    <row r="109" spans="1:250" s="1" customFormat="1">
      <c r="A109" s="851"/>
      <c r="B109" s="215" t="str">
        <f>IF(Contents!$B$2=2,"Electricity consumption","Потребление электроэнергии")</f>
        <v>Потребление электроэнергии</v>
      </c>
      <c r="C109" s="12" t="str">
        <f>IF(Contents!$B$2=2,"mln kWh","млн кВт·ч")</f>
        <v>млн кВт·ч</v>
      </c>
      <c r="D109" s="10">
        <v>588</v>
      </c>
      <c r="E109" s="10">
        <v>658</v>
      </c>
      <c r="F109" s="205">
        <v>675</v>
      </c>
      <c r="G109" s="205">
        <v>1862</v>
      </c>
      <c r="H109" s="205">
        <v>2691</v>
      </c>
      <c r="I109" s="208">
        <v>2927</v>
      </c>
      <c r="J109" s="208">
        <v>3322</v>
      </c>
      <c r="K109" s="208">
        <v>3646</v>
      </c>
      <c r="L109" s="208">
        <v>2599</v>
      </c>
      <c r="M109" s="208">
        <v>2751</v>
      </c>
      <c r="N109" s="209">
        <v>2863</v>
      </c>
      <c r="O109" s="781"/>
      <c r="P109" s="558" t="str">
        <f>IF(Contents!$B$2=2,"Yes","Да")</f>
        <v>Да</v>
      </c>
      <c r="Q109" s="29"/>
      <c r="R109" s="590"/>
      <c r="S109" s="590"/>
      <c r="T109" s="590"/>
      <c r="U109" s="590"/>
      <c r="V109" s="589"/>
      <c r="W109" s="558">
        <v>2</v>
      </c>
      <c r="X109" s="589"/>
      <c r="Y109" s="595"/>
      <c r="Z109" s="785"/>
      <c r="AA109" s="785"/>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row>
    <row r="110" spans="1:250" s="1" customFormat="1" ht="25.5">
      <c r="A110" s="851"/>
      <c r="B110" s="203" t="str">
        <f>IF(Contents!$B$2=2,"Total energy savings","Суммарный объем энергосбережения")</f>
        <v>Суммарный объем энергосбережения</v>
      </c>
      <c r="C110" s="12" t="str">
        <f>IF(Contents!$B$2=2,"th. GJ","тыс. ГДж")</f>
        <v>тыс. ГДж</v>
      </c>
      <c r="D110" s="168" t="s">
        <v>185</v>
      </c>
      <c r="E110" s="168" t="s">
        <v>185</v>
      </c>
      <c r="F110" s="10">
        <v>26.7</v>
      </c>
      <c r="G110" s="10">
        <v>33.9</v>
      </c>
      <c r="H110" s="10">
        <v>32.6</v>
      </c>
      <c r="I110" s="10">
        <v>30.5</v>
      </c>
      <c r="J110" s="10">
        <v>43.2</v>
      </c>
      <c r="K110" s="677">
        <v>6790.1</v>
      </c>
      <c r="L110" s="677">
        <v>7878</v>
      </c>
      <c r="M110" s="677">
        <v>7690</v>
      </c>
      <c r="N110" s="209">
        <v>17979</v>
      </c>
      <c r="O110" s="881"/>
      <c r="P110" s="558" t="str">
        <f>IF(Contents!$B$2=2,"Yes","Да")</f>
        <v>Да</v>
      </c>
      <c r="Q110" s="29"/>
      <c r="R110" s="465" t="s">
        <v>66</v>
      </c>
      <c r="S110" s="465"/>
      <c r="T110" s="590"/>
      <c r="U110" s="590"/>
      <c r="V110" s="589"/>
      <c r="W110" s="558">
        <v>2</v>
      </c>
      <c r="X110" s="589"/>
      <c r="Y110" s="595"/>
      <c r="Z110" s="785"/>
      <c r="AA110" s="785"/>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row>
    <row r="111" spans="1:250" s="1" customFormat="1">
      <c r="A111" s="851"/>
      <c r="D111" s="543"/>
      <c r="E111" s="543"/>
      <c r="F111" s="543"/>
      <c r="G111" s="543"/>
      <c r="H111" s="543"/>
      <c r="I111" s="543"/>
      <c r="J111" s="543"/>
      <c r="K111" s="543"/>
      <c r="L111" s="543"/>
      <c r="M111" s="543"/>
      <c r="N111" s="543"/>
      <c r="O111" s="38"/>
      <c r="P111" s="558"/>
      <c r="Q111" s="38"/>
      <c r="R111" s="590"/>
      <c r="S111" s="590"/>
      <c r="T111" s="590"/>
      <c r="U111" s="590"/>
      <c r="V111" s="589"/>
      <c r="W111" s="558"/>
      <c r="X111" s="589"/>
      <c r="Y111" s="595"/>
      <c r="Z111" s="785"/>
      <c r="AA111" s="785"/>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row>
    <row r="112" spans="1:250" s="1" customFormat="1">
      <c r="A112" s="851"/>
      <c r="B112" s="25" t="str">
        <f>IF(Contents!$B$2=2,"Notes:","Примечания:")</f>
        <v>Примечания:</v>
      </c>
      <c r="D112" s="543"/>
      <c r="E112" s="543"/>
      <c r="F112" s="543"/>
      <c r="G112" s="543"/>
      <c r="H112" s="543"/>
      <c r="I112" s="543"/>
      <c r="J112" s="543"/>
      <c r="K112" s="543"/>
      <c r="L112" s="543"/>
      <c r="M112" s="543"/>
      <c r="N112" s="543"/>
      <c r="O112" s="37"/>
      <c r="P112" s="39"/>
      <c r="Q112" s="37"/>
      <c r="R112" s="590"/>
      <c r="S112" s="590"/>
      <c r="T112" s="590"/>
      <c r="U112" s="590"/>
      <c r="V112" s="589"/>
      <c r="W112" s="39"/>
      <c r="X112" s="589"/>
      <c r="Y112" s="595"/>
      <c r="Z112" s="785"/>
      <c r="AA112" s="785"/>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row>
    <row r="113" spans="1:250" s="1" customFormat="1">
      <c r="A113" s="851"/>
      <c r="B113" s="26" t="str">
        <f>IF(Contents!$B$2=2, Z114, AA114)</f>
        <v>Потребление энергии рассчитывается как сумма закупленной энергии и обеспечивающей генерации за вычетом продажи и отпуска. При пересчете данных использовались следующие коэффициенты: 1 тыс. кВт*ч = 3,6 ГДж, 1 Гкал = 4,187 ГДж. При пересчете данных по потреблению топлива использовался коэффициент: 1 т.у.т. = 29,31 ГДж; 1 т.у.т. = 1 куб. м * 1,154.</v>
      </c>
      <c r="D113" s="543"/>
      <c r="E113" s="543"/>
      <c r="F113" s="543"/>
      <c r="G113" s="543"/>
      <c r="H113" s="543"/>
      <c r="I113" s="543"/>
      <c r="J113" s="543"/>
      <c r="K113" s="543"/>
      <c r="L113" s="543"/>
      <c r="M113" s="543"/>
      <c r="N113" s="543"/>
      <c r="O113" s="38"/>
      <c r="P113" s="558"/>
      <c r="Q113" s="38"/>
      <c r="R113" s="590"/>
      <c r="S113" s="590"/>
      <c r="T113" s="590"/>
      <c r="U113" s="590"/>
      <c r="V113" s="589"/>
      <c r="W113" s="558"/>
      <c r="X113" s="589"/>
      <c r="Y113" s="595"/>
      <c r="Z113" s="785"/>
      <c r="AA113" s="785"/>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row>
    <row r="114" spans="1:250" s="1" customFormat="1" ht="48.75" customHeight="1">
      <c r="A114" s="851"/>
      <c r="B114" s="26" t="str">
        <f>IF(Contents!$B$2=2, $Z$115, $AB$114)</f>
        <v>В Отчете за 2025 год произведен пересчет суммарного сокращения энергопотребления за 2023 и 2024 годы, а также потребления энергии за 2023 и 2024 годы пропорционально доле владения Группы в совместных предприятиях. Подробнее см. в Приложении 4, показатель GRI 2-4.</v>
      </c>
      <c r="E114" s="543"/>
      <c r="F114" s="543"/>
      <c r="G114" s="543"/>
      <c r="H114" s="543"/>
      <c r="I114" s="543"/>
      <c r="J114" s="543"/>
      <c r="K114" s="543"/>
      <c r="L114" s="543"/>
      <c r="M114" s="543"/>
      <c r="N114" s="543"/>
      <c r="O114" s="38"/>
      <c r="P114" s="558"/>
      <c r="Q114" s="38"/>
      <c r="R114" s="590"/>
      <c r="S114" s="590"/>
      <c r="T114" s="590"/>
      <c r="U114" s="590"/>
      <c r="V114" s="589"/>
      <c r="W114" s="558"/>
      <c r="X114" s="589"/>
      <c r="Y114" s="595"/>
      <c r="Z114" s="114" t="s">
        <v>34</v>
      </c>
      <c r="AA114" s="786" t="s">
        <v>9</v>
      </c>
      <c r="AB114" s="117" t="s">
        <v>226</v>
      </c>
      <c r="AC114" s="117" t="s">
        <v>227</v>
      </c>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row>
    <row r="115" spans="1:250">
      <c r="B115" s="216" t="str">
        <f>IF(Contents!$B$2=2,"Fuel consumption","Потребление топлива")</f>
        <v>Потребление топлива</v>
      </c>
      <c r="C115" s="217"/>
      <c r="D115" s="553"/>
      <c r="E115" s="553"/>
      <c r="F115" s="553"/>
      <c r="G115" s="553"/>
      <c r="H115" s="553"/>
      <c r="I115" s="553"/>
      <c r="J115" s="553"/>
      <c r="K115" s="553"/>
      <c r="L115" s="553"/>
      <c r="M115" s="553"/>
      <c r="N115" s="553"/>
      <c r="O115" s="38"/>
      <c r="P115" s="558"/>
      <c r="Q115" s="38"/>
      <c r="R115" s="590"/>
      <c r="S115" s="590"/>
      <c r="T115" s="590"/>
      <c r="U115" s="590"/>
      <c r="W115" s="558"/>
      <c r="Y115" s="595"/>
      <c r="Z115" s="226" t="s">
        <v>196</v>
      </c>
      <c r="AA115" s="226" t="s">
        <v>195</v>
      </c>
    </row>
    <row r="116" spans="1:250" s="1" customFormat="1" ht="25.5">
      <c r="A116" s="851"/>
      <c r="B116" s="218" t="str">
        <f>IF(Contents!$B$2=2,"Fuel consumption from non-renewable sources, including","Расход топлива из невозобновляемых источников")</f>
        <v>Расход топлива из невозобновляемых источников</v>
      </c>
      <c r="C116" s="12" t="str">
        <f>IF(Contents!$B$2=2,"th. GJ","тыс. ГДж")</f>
        <v>тыс. ГДж</v>
      </c>
      <c r="D116" s="205">
        <v>6614</v>
      </c>
      <c r="E116" s="205">
        <v>7485</v>
      </c>
      <c r="F116" s="205">
        <v>5877</v>
      </c>
      <c r="G116" s="205">
        <v>20720</v>
      </c>
      <c r="H116" s="205">
        <v>164135</v>
      </c>
      <c r="I116" s="205">
        <v>179956</v>
      </c>
      <c r="J116" s="205">
        <v>197899</v>
      </c>
      <c r="K116" s="205">
        <v>188222</v>
      </c>
      <c r="L116" s="101">
        <v>141432</v>
      </c>
      <c r="M116" s="101">
        <v>146969</v>
      </c>
      <c r="N116" s="204">
        <v>159655</v>
      </c>
      <c r="O116" s="37"/>
      <c r="P116" s="558" t="str">
        <f>IF(Contents!$B$2=2,"Yes","Да")</f>
        <v>Да</v>
      </c>
      <c r="Q116" s="37"/>
      <c r="R116" s="465" t="s">
        <v>64</v>
      </c>
      <c r="S116" s="493"/>
      <c r="T116" s="590"/>
      <c r="U116" s="273" t="str">
        <f>IF(Contents!$B$2=2,"PBCS 13","СОКБ 13")</f>
        <v>СОКБ 13</v>
      </c>
      <c r="V116" s="589"/>
      <c r="W116" s="558">
        <v>2</v>
      </c>
      <c r="X116" s="589"/>
      <c r="Y116" s="595"/>
      <c r="Z116" s="785"/>
      <c r="AA116" s="785"/>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row>
    <row r="117" spans="1:250">
      <c r="B117" s="23" t="str">
        <f>IF(Contents!$B$2=2,"by type and purpose","по видам и целям")</f>
        <v>по видам и целям</v>
      </c>
      <c r="C117" s="197"/>
      <c r="D117" s="550"/>
      <c r="E117" s="550"/>
      <c r="F117" s="550"/>
      <c r="G117" s="550"/>
      <c r="H117" s="650"/>
      <c r="I117" s="650"/>
      <c r="J117" s="650"/>
      <c r="K117" s="650"/>
      <c r="L117" s="650"/>
      <c r="M117" s="650"/>
      <c r="N117" s="650"/>
      <c r="O117" s="29"/>
      <c r="P117" s="558"/>
      <c r="Q117" s="37"/>
      <c r="R117" s="590"/>
      <c r="S117" s="590"/>
      <c r="T117" s="590"/>
      <c r="U117" s="590"/>
      <c r="W117" s="558"/>
      <c r="Y117" s="595"/>
    </row>
    <row r="118" spans="1:250" s="1" customFormat="1">
      <c r="A118" s="851"/>
      <c r="B118" s="219" t="str">
        <f>IF(Contents!$B$2=2,"Natural gas to produce heat and electricity","Природный газ для производства тепла и электроэнергии")</f>
        <v>Природный газ для производства тепла и электроэнергии</v>
      </c>
      <c r="C118" s="12" t="str">
        <f>IF(Contents!$B$2=2,"th. GJ","тыс. ГДж")</f>
        <v>тыс. ГДж</v>
      </c>
      <c r="D118" s="205">
        <v>6614</v>
      </c>
      <c r="E118" s="205">
        <v>7485</v>
      </c>
      <c r="F118" s="205">
        <v>5877</v>
      </c>
      <c r="G118" s="205">
        <v>20720</v>
      </c>
      <c r="H118" s="205">
        <v>30457</v>
      </c>
      <c r="I118" s="208">
        <v>34983</v>
      </c>
      <c r="J118" s="208">
        <v>38846</v>
      </c>
      <c r="K118" s="208">
        <v>40518</v>
      </c>
      <c r="L118" s="208">
        <v>26807</v>
      </c>
      <c r="M118" s="208">
        <v>33071</v>
      </c>
      <c r="N118" s="204">
        <v>32310</v>
      </c>
      <c r="O118" s="38"/>
      <c r="P118" s="558" t="str">
        <f>IF(Contents!$B$2=2,"Yes","Да")</f>
        <v>Да</v>
      </c>
      <c r="Q118" s="37"/>
      <c r="R118" s="590"/>
      <c r="S118" s="590"/>
      <c r="T118" s="590"/>
      <c r="U118" s="590"/>
      <c r="V118" s="589"/>
      <c r="W118" s="558">
        <v>2</v>
      </c>
      <c r="X118" s="589"/>
      <c r="Y118" s="595"/>
      <c r="Z118" s="785"/>
      <c r="AA118" s="785"/>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row>
    <row r="119" spans="1:250" s="1" customFormat="1">
      <c r="A119" s="851"/>
      <c r="B119" s="219" t="str">
        <f>IF(Contents!$B$2=2,"Natural gas for the Company's own technological needs","Природный газ для собственных технологических нужд Компании")</f>
        <v>Природный газ для собственных технологических нужд Компании</v>
      </c>
      <c r="C119" s="12" t="str">
        <f>IF(Contents!$B$2=2,"th. GJ","тыс. ГДж")</f>
        <v>тыс. ГДж</v>
      </c>
      <c r="D119" s="168" t="s">
        <v>185</v>
      </c>
      <c r="E119" s="168" t="s">
        <v>185</v>
      </c>
      <c r="F119" s="168" t="s">
        <v>185</v>
      </c>
      <c r="G119" s="168" t="s">
        <v>185</v>
      </c>
      <c r="H119" s="205">
        <v>128678</v>
      </c>
      <c r="I119" s="205">
        <v>140973</v>
      </c>
      <c r="J119" s="205">
        <v>154401</v>
      </c>
      <c r="K119" s="205">
        <v>143178</v>
      </c>
      <c r="L119" s="205">
        <v>107789</v>
      </c>
      <c r="M119" s="205">
        <v>106735</v>
      </c>
      <c r="N119" s="204">
        <v>119460</v>
      </c>
      <c r="O119" s="38"/>
      <c r="P119" s="558" t="str">
        <f>IF(Contents!$B$2=2,"Yes","Да")</f>
        <v>Да</v>
      </c>
      <c r="Q119" s="37"/>
      <c r="R119" s="590"/>
      <c r="S119" s="590"/>
      <c r="T119" s="590"/>
      <c r="U119" s="590"/>
      <c r="V119" s="589"/>
      <c r="W119" s="558">
        <v>2</v>
      </c>
      <c r="X119" s="589"/>
      <c r="Y119" s="595"/>
      <c r="Z119" s="785"/>
      <c r="AA119" s="785"/>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c r="IN119" s="14"/>
      <c r="IO119" s="14"/>
      <c r="IP119" s="14"/>
    </row>
    <row r="120" spans="1:250" s="1" customFormat="1">
      <c r="A120" s="851"/>
      <c r="B120" s="219" t="str">
        <f>IF(Contents!$B$2=2,"Butane fraction","Бутановая фракция")</f>
        <v>Бутановая фракция</v>
      </c>
      <c r="C120" s="12" t="str">
        <f>IF(Contents!$B$2=2,"th. GJ","тыс. ГДж")</f>
        <v>тыс. ГДж</v>
      </c>
      <c r="D120" s="168" t="s">
        <v>185</v>
      </c>
      <c r="E120" s="168" t="s">
        <v>185</v>
      </c>
      <c r="F120" s="168" t="s">
        <v>185</v>
      </c>
      <c r="G120" s="168" t="s">
        <v>185</v>
      </c>
      <c r="H120" s="205">
        <v>5000</v>
      </c>
      <c r="I120" s="205">
        <v>4000</v>
      </c>
      <c r="J120" s="205">
        <v>4652</v>
      </c>
      <c r="K120" s="205">
        <v>4526</v>
      </c>
      <c r="L120" s="205">
        <v>6272</v>
      </c>
      <c r="M120" s="205">
        <v>6568</v>
      </c>
      <c r="N120" s="204">
        <v>7305</v>
      </c>
      <c r="O120" s="38"/>
      <c r="P120" s="558" t="str">
        <f>IF(Contents!$B$2=2,"Yes","Да")</f>
        <v>Да</v>
      </c>
      <c r="Q120" s="37"/>
      <c r="R120" s="590"/>
      <c r="S120" s="590"/>
      <c r="T120" s="590"/>
      <c r="U120" s="590"/>
      <c r="V120" s="589"/>
      <c r="W120" s="558">
        <v>2</v>
      </c>
      <c r="X120" s="589"/>
      <c r="Y120" s="595"/>
      <c r="Z120" s="785"/>
      <c r="AA120" s="785"/>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c r="IF120" s="14"/>
      <c r="IG120" s="14"/>
      <c r="IH120" s="14"/>
      <c r="II120" s="14"/>
      <c r="IJ120" s="14"/>
      <c r="IK120" s="14"/>
      <c r="IL120" s="14"/>
      <c r="IM120" s="14"/>
      <c r="IN120" s="14"/>
      <c r="IO120" s="14"/>
      <c r="IP120" s="14"/>
    </row>
    <row r="121" spans="1:250" s="1" customFormat="1">
      <c r="A121" s="851"/>
      <c r="B121" s="219" t="str">
        <f>IF(Contents!$B$2=2,"Marine fuel component","Компонент судового топлива")</f>
        <v>Компонент судового топлива</v>
      </c>
      <c r="C121" s="12" t="str">
        <f>IF(Contents!$B$2=2,"th. GJ","тыс. ГДж")</f>
        <v>тыс. ГДж</v>
      </c>
      <c r="D121" s="168" t="s">
        <v>185</v>
      </c>
      <c r="E121" s="168" t="s">
        <v>185</v>
      </c>
      <c r="F121" s="168" t="s">
        <v>185</v>
      </c>
      <c r="G121" s="168" t="s">
        <v>185</v>
      </c>
      <c r="H121" s="168" t="s">
        <v>185</v>
      </c>
      <c r="I121" s="168" t="s">
        <v>185</v>
      </c>
      <c r="J121" s="168" t="s">
        <v>185</v>
      </c>
      <c r="K121" s="168" t="s">
        <v>185</v>
      </c>
      <c r="L121" s="205">
        <v>564</v>
      </c>
      <c r="M121" s="205">
        <v>595</v>
      </c>
      <c r="N121" s="204">
        <v>580</v>
      </c>
      <c r="O121" s="38"/>
      <c r="P121" s="558" t="str">
        <f>IF(Contents!$B$2=2,"Yes","Да")</f>
        <v>Да</v>
      </c>
      <c r="Q121" s="37"/>
      <c r="R121" s="590"/>
      <c r="S121" s="590"/>
      <c r="T121" s="590"/>
      <c r="U121" s="590"/>
      <c r="V121" s="589"/>
      <c r="W121" s="558">
        <v>2</v>
      </c>
      <c r="X121" s="589"/>
      <c r="Y121" s="595"/>
      <c r="Z121" s="785"/>
      <c r="AA121" s="785"/>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row>
    <row r="122" spans="1:250" s="1" customFormat="1">
      <c r="A122" s="851"/>
      <c r="B122" s="113" t="s">
        <v>67</v>
      </c>
      <c r="C122" s="113" t="s">
        <v>68</v>
      </c>
      <c r="D122" s="543"/>
      <c r="E122" s="543"/>
      <c r="F122" s="543"/>
      <c r="G122" s="543"/>
      <c r="H122" s="543"/>
      <c r="I122" s="543"/>
      <c r="J122" s="543"/>
      <c r="K122" s="543"/>
      <c r="L122" s="543"/>
      <c r="M122" s="543"/>
      <c r="N122" s="543"/>
      <c r="O122" s="29"/>
      <c r="P122" s="558"/>
      <c r="Q122" s="29"/>
      <c r="R122" s="590"/>
      <c r="S122" s="590"/>
      <c r="T122" s="590"/>
      <c r="U122" s="590"/>
      <c r="V122" s="589"/>
      <c r="W122" s="558">
        <v>2</v>
      </c>
      <c r="X122" s="589"/>
      <c r="Y122" s="595"/>
      <c r="Z122" s="785"/>
      <c r="AA122" s="785"/>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c r="IN122" s="14"/>
      <c r="IO122" s="14"/>
      <c r="IP122" s="14"/>
    </row>
    <row r="123" spans="1:250" ht="25.5">
      <c r="B123" s="216" t="str">
        <f>IF(Contents!$B$2=2,"Specific electricity consumption","Удельное потребление электроэнергии")</f>
        <v>Удельное потребление электроэнергии</v>
      </c>
      <c r="C123" s="217"/>
      <c r="D123" s="553"/>
      <c r="E123" s="553"/>
      <c r="F123" s="553"/>
      <c r="G123" s="553"/>
      <c r="H123" s="553"/>
      <c r="I123" s="553"/>
      <c r="J123" s="553"/>
      <c r="K123" s="553"/>
      <c r="L123" s="553"/>
      <c r="M123" s="553"/>
      <c r="N123" s="553"/>
      <c r="O123" s="29"/>
      <c r="P123" s="558"/>
      <c r="Q123" s="29"/>
      <c r="R123" s="465" t="s">
        <v>69</v>
      </c>
      <c r="S123" s="493"/>
      <c r="T123" s="590"/>
      <c r="U123" s="590"/>
      <c r="W123" s="558"/>
      <c r="Y123" s="595"/>
    </row>
    <row r="124" spans="1:250">
      <c r="B124" s="23" t="str">
        <f>IF(Contents!$B$2=2,"by process","по процессам")</f>
        <v>по процессам</v>
      </c>
      <c r="C124" s="220"/>
      <c r="D124" s="554"/>
      <c r="E124" s="554"/>
      <c r="F124" s="554"/>
      <c r="G124" s="554"/>
      <c r="H124" s="554"/>
      <c r="I124" s="554"/>
      <c r="J124" s="554"/>
      <c r="K124" s="554"/>
      <c r="L124" s="554"/>
      <c r="M124" s="554"/>
      <c r="N124" s="554"/>
      <c r="O124" s="29"/>
      <c r="P124" s="558"/>
      <c r="Q124" s="29"/>
      <c r="R124" s="590"/>
      <c r="S124" s="590"/>
      <c r="T124" s="590"/>
      <c r="U124" s="590"/>
      <c r="W124" s="558">
        <v>2</v>
      </c>
      <c r="Y124" s="595"/>
    </row>
    <row r="125" spans="1:250" s="1" customFormat="1">
      <c r="A125" s="851"/>
      <c r="B125" s="219" t="str">
        <f>IF(Contents!$B$2=2,"Gas production","Добыча газа")</f>
        <v>Добыча газа</v>
      </c>
      <c r="C125" s="178" t="str">
        <f>IF(Contents!$B$2=2,"kWh / th. cubic meters","кВт·ч / тыс. куб. м")</f>
        <v>кВт·ч / тыс. куб. м</v>
      </c>
      <c r="D125" s="168" t="s">
        <v>185</v>
      </c>
      <c r="E125" s="168" t="s">
        <v>185</v>
      </c>
      <c r="F125" s="652">
        <v>2.5</v>
      </c>
      <c r="G125" s="652">
        <v>2.1</v>
      </c>
      <c r="H125" s="652">
        <v>2.4</v>
      </c>
      <c r="I125" s="653">
        <v>2.5</v>
      </c>
      <c r="J125" s="653">
        <v>2.5</v>
      </c>
      <c r="K125" s="653">
        <v>2.2999999999999998</v>
      </c>
      <c r="L125" s="653">
        <v>2.8</v>
      </c>
      <c r="M125" s="653">
        <v>2.7</v>
      </c>
      <c r="N125" s="28">
        <v>2.9</v>
      </c>
      <c r="O125" s="881"/>
      <c r="P125" s="558" t="str">
        <f>IF(Contents!$B$2=2,"Yes","Да")</f>
        <v>Да</v>
      </c>
      <c r="Q125" s="29"/>
      <c r="R125" s="590"/>
      <c r="S125" s="590"/>
      <c r="T125" s="590"/>
      <c r="U125" s="590"/>
      <c r="V125" s="589"/>
      <c r="W125" s="558">
        <v>2</v>
      </c>
      <c r="X125" s="589"/>
      <c r="Y125" s="595"/>
      <c r="Z125" s="785"/>
      <c r="AA125" s="785"/>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c r="IJ125" s="14"/>
      <c r="IK125" s="14"/>
      <c r="IL125" s="14"/>
      <c r="IM125" s="14"/>
      <c r="IN125" s="14"/>
      <c r="IO125" s="14"/>
      <c r="IP125" s="14"/>
    </row>
    <row r="126" spans="1:250" s="1" customFormat="1">
      <c r="A126" s="851"/>
      <c r="B126" s="219" t="str">
        <f>IF(Contents!$B$2=2,"Condensate production","Добыча конденсата")</f>
        <v>Добыча конденсата</v>
      </c>
      <c r="C126" s="178" t="str">
        <f>IF(Contents!$B$2=2,"kWh / tons","кВт·ч / т")</f>
        <v>кВт·ч / т</v>
      </c>
      <c r="D126" s="168" t="s">
        <v>185</v>
      </c>
      <c r="E126" s="168" t="s">
        <v>185</v>
      </c>
      <c r="F126" s="652">
        <v>12.4</v>
      </c>
      <c r="G126" s="652">
        <v>10.7</v>
      </c>
      <c r="H126" s="652">
        <v>10.8</v>
      </c>
      <c r="I126" s="653">
        <v>10.3</v>
      </c>
      <c r="J126" s="653">
        <v>10.3</v>
      </c>
      <c r="K126" s="653">
        <v>11.1</v>
      </c>
      <c r="L126" s="653">
        <v>10.7</v>
      </c>
      <c r="M126" s="653">
        <v>10.7</v>
      </c>
      <c r="N126" s="28">
        <v>10.9</v>
      </c>
      <c r="O126" s="881"/>
      <c r="P126" s="558" t="str">
        <f>IF(Contents!$B$2=2,"Yes","Да")</f>
        <v>Да</v>
      </c>
      <c r="Q126" s="29"/>
      <c r="R126" s="590"/>
      <c r="S126" s="590"/>
      <c r="T126" s="590"/>
      <c r="U126" s="590"/>
      <c r="V126" s="589"/>
      <c r="W126" s="558">
        <v>2</v>
      </c>
      <c r="X126" s="589"/>
      <c r="Y126" s="595"/>
      <c r="Z126" s="785"/>
      <c r="AA126" s="785"/>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c r="II126" s="14"/>
      <c r="IJ126" s="14"/>
      <c r="IK126" s="14"/>
      <c r="IL126" s="14"/>
      <c r="IM126" s="14"/>
      <c r="IN126" s="14"/>
      <c r="IO126" s="14"/>
      <c r="IP126" s="14"/>
    </row>
    <row r="127" spans="1:250" s="1" customFormat="1">
      <c r="A127" s="851"/>
      <c r="B127" s="219" t="str">
        <f>IF(Contents!$B$2=2,"Oil production","Добыча нефти")</f>
        <v>Добыча нефти</v>
      </c>
      <c r="C127" s="178" t="str">
        <f>IF(Contents!$B$2=2,"kWh / tons","кВт·ч / т")</f>
        <v>кВт·ч / т</v>
      </c>
      <c r="D127" s="168" t="s">
        <v>185</v>
      </c>
      <c r="E127" s="168" t="s">
        <v>185</v>
      </c>
      <c r="F127" s="652">
        <v>24</v>
      </c>
      <c r="G127" s="652">
        <v>21.4</v>
      </c>
      <c r="H127" s="652">
        <v>27.6</v>
      </c>
      <c r="I127" s="653">
        <v>34.6</v>
      </c>
      <c r="J127" s="653">
        <v>41.9</v>
      </c>
      <c r="K127" s="653">
        <v>55.3</v>
      </c>
      <c r="L127" s="653">
        <v>59.5</v>
      </c>
      <c r="M127" s="653">
        <v>39.200000000000003</v>
      </c>
      <c r="N127" s="28">
        <v>41.1</v>
      </c>
      <c r="O127" s="881"/>
      <c r="P127" s="558" t="str">
        <f>IF(Contents!$B$2=2,"Yes","Да")</f>
        <v>Да</v>
      </c>
      <c r="Q127" s="29"/>
      <c r="R127" s="590"/>
      <c r="S127" s="590"/>
      <c r="T127" s="590"/>
      <c r="U127" s="590"/>
      <c r="V127" s="589"/>
      <c r="W127" s="558">
        <v>2</v>
      </c>
      <c r="X127" s="589"/>
      <c r="Y127" s="595"/>
      <c r="Z127" s="785"/>
      <c r="AA127" s="785"/>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c r="IJ127" s="14"/>
      <c r="IK127" s="14"/>
      <c r="IL127" s="14"/>
      <c r="IM127" s="14"/>
      <c r="IN127" s="14"/>
      <c r="IO127" s="14"/>
      <c r="IP127" s="14"/>
    </row>
    <row r="128" spans="1:250" s="1" customFormat="1">
      <c r="A128" s="851"/>
      <c r="B128" s="219" t="str">
        <f>IF(Contents!$B$2=2,"Condensate processing","Переработка конденсата")</f>
        <v>Переработка конденсата</v>
      </c>
      <c r="C128" s="178" t="str">
        <f>IF(Contents!$B$2=2,"kWh / tons","кВт·ч / т")</f>
        <v>кВт·ч / т</v>
      </c>
      <c r="D128" s="168" t="s">
        <v>185</v>
      </c>
      <c r="E128" s="168" t="s">
        <v>185</v>
      </c>
      <c r="F128" s="652">
        <v>7.1</v>
      </c>
      <c r="G128" s="652">
        <v>6.5</v>
      </c>
      <c r="H128" s="652">
        <v>6.6</v>
      </c>
      <c r="I128" s="653">
        <v>6.3</v>
      </c>
      <c r="J128" s="653">
        <v>6.4</v>
      </c>
      <c r="K128" s="653">
        <v>6.4</v>
      </c>
      <c r="L128" s="653">
        <v>7</v>
      </c>
      <c r="M128" s="653">
        <v>8.9</v>
      </c>
      <c r="N128" s="28">
        <v>9</v>
      </c>
      <c r="O128" s="881"/>
      <c r="P128" s="558" t="str">
        <f>IF(Contents!$B$2=2,"Yes","Да")</f>
        <v>Да</v>
      </c>
      <c r="Q128" s="29"/>
      <c r="R128" s="590"/>
      <c r="S128" s="590"/>
      <c r="T128" s="590"/>
      <c r="U128" s="590"/>
      <c r="V128" s="589"/>
      <c r="W128" s="558">
        <v>2</v>
      </c>
      <c r="X128" s="589"/>
      <c r="Y128" s="595"/>
      <c r="Z128" s="785"/>
      <c r="AA128" s="785"/>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c r="II128" s="14"/>
      <c r="IJ128" s="14"/>
      <c r="IK128" s="14"/>
      <c r="IL128" s="14"/>
      <c r="IM128" s="14"/>
      <c r="IN128" s="14"/>
      <c r="IO128" s="14"/>
      <c r="IP128" s="14"/>
    </row>
    <row r="129" spans="1:250" s="1" customFormat="1">
      <c r="A129" s="851"/>
      <c r="B129" s="223" t="str">
        <f>IF(Contents!$B$2=2,"Gas liquefaction, including shipment","Сжижение газа, включая отгрузку")</f>
        <v>Сжижение газа, включая отгрузку</v>
      </c>
      <c r="C129" s="178" t="str">
        <f>IF(Contents!$B$2=2,"kWh / tons","кВт·ч / т")</f>
        <v>кВт·ч / т</v>
      </c>
      <c r="D129" s="168" t="s">
        <v>185</v>
      </c>
      <c r="E129" s="168" t="s">
        <v>185</v>
      </c>
      <c r="F129" s="654" t="s">
        <v>185</v>
      </c>
      <c r="G129" s="652">
        <v>107.6</v>
      </c>
      <c r="H129" s="652">
        <v>87.9</v>
      </c>
      <c r="I129" s="653">
        <v>91.8</v>
      </c>
      <c r="J129" s="653">
        <v>93.4</v>
      </c>
      <c r="K129" s="653">
        <v>97.8</v>
      </c>
      <c r="L129" s="653">
        <v>99.7</v>
      </c>
      <c r="M129" s="653">
        <v>97.8</v>
      </c>
      <c r="N129" s="28">
        <v>100.5</v>
      </c>
      <c r="O129" s="881"/>
      <c r="P129" s="558" t="str">
        <f>IF(Contents!$B$2=2,"Yes","Да")</f>
        <v>Да</v>
      </c>
      <c r="Q129" s="29"/>
      <c r="R129" s="590"/>
      <c r="S129" s="590"/>
      <c r="T129" s="590"/>
      <c r="U129" s="590"/>
      <c r="V129" s="589"/>
      <c r="W129" s="558">
        <v>2</v>
      </c>
      <c r="X129" s="589"/>
      <c r="Y129" s="595"/>
      <c r="Z129" s="785"/>
      <c r="AA129" s="785"/>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c r="II129" s="14"/>
      <c r="IJ129" s="14"/>
      <c r="IK129" s="14"/>
      <c r="IL129" s="14"/>
      <c r="IM129" s="14"/>
      <c r="IN129" s="14"/>
      <c r="IO129" s="14"/>
      <c r="IP129" s="14"/>
    </row>
    <row r="130" spans="1:250" s="1" customFormat="1" ht="25.5">
      <c r="A130" s="851"/>
      <c r="B130" s="203" t="str">
        <f>IF(Contents!$B$2=2,"Energy consumption intensity (electricity and heat)","Удельное энергопотребление (электрической и тепловой)")</f>
        <v>Удельное энергопотребление (электрической и тепловой)</v>
      </c>
      <c r="C130" s="12" t="str">
        <f>IF(Contents!$B$2=2,"GJ / boe","ГДж / бнэ")</f>
        <v>ГДж / бнэ</v>
      </c>
      <c r="D130" s="168" t="s">
        <v>185</v>
      </c>
      <c r="E130" s="168" t="s">
        <v>185</v>
      </c>
      <c r="F130" s="168" t="s">
        <v>185</v>
      </c>
      <c r="G130" s="168" t="s">
        <v>185</v>
      </c>
      <c r="H130" s="224">
        <v>0.02</v>
      </c>
      <c r="I130" s="224">
        <v>0.02</v>
      </c>
      <c r="J130" s="224">
        <v>0.02</v>
      </c>
      <c r="K130" s="224">
        <v>0.03</v>
      </c>
      <c r="L130" s="224">
        <v>0.02</v>
      </c>
      <c r="M130" s="224">
        <v>0.02</v>
      </c>
      <c r="N130" s="787">
        <v>0.02</v>
      </c>
      <c r="O130" s="871"/>
      <c r="P130" s="558" t="str">
        <f>IF(Contents!$B$2=2,"Yes","Да")</f>
        <v>Да</v>
      </c>
      <c r="Q130" s="29"/>
      <c r="R130" s="465" t="s">
        <v>69</v>
      </c>
      <c r="S130" s="493"/>
      <c r="T130" s="590"/>
      <c r="U130" s="590"/>
      <c r="V130" s="589"/>
      <c r="W130" s="558">
        <v>2</v>
      </c>
      <c r="X130" s="589"/>
      <c r="Y130" s="595"/>
      <c r="Z130" s="785"/>
      <c r="AA130" s="785"/>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c r="II130" s="14"/>
      <c r="IJ130" s="14"/>
      <c r="IK130" s="14"/>
      <c r="IL130" s="14"/>
      <c r="IM130" s="14"/>
      <c r="IN130" s="14"/>
      <c r="IO130" s="14"/>
      <c r="IP130" s="14"/>
    </row>
    <row r="131" spans="1:250" s="1" customFormat="1">
      <c r="A131" s="851"/>
      <c r="B131" s="183" t="str">
        <f>IF(Contents!$B$2=2,"Production / Upstream facilities","Предприятия добычи")</f>
        <v>Предприятия добычи</v>
      </c>
      <c r="C131" s="178" t="str">
        <f>IF(Contents!$B$2=2,"GJ / boe","ГДж / бнэ")</f>
        <v>ГДж / бнэ</v>
      </c>
      <c r="D131" s="168" t="s">
        <v>185</v>
      </c>
      <c r="E131" s="168" t="s">
        <v>185</v>
      </c>
      <c r="F131" s="168" t="s">
        <v>185</v>
      </c>
      <c r="G131" s="168" t="s">
        <v>185</v>
      </c>
      <c r="H131" s="224">
        <v>0.01</v>
      </c>
      <c r="I131" s="224">
        <v>0.01</v>
      </c>
      <c r="J131" s="224">
        <v>0.01</v>
      </c>
      <c r="K131" s="224">
        <v>0.01</v>
      </c>
      <c r="L131" s="224">
        <v>0.01</v>
      </c>
      <c r="M131" s="224">
        <v>0.01</v>
      </c>
      <c r="N131" s="787">
        <v>0.01</v>
      </c>
      <c r="O131" s="871"/>
      <c r="P131" s="558" t="str">
        <f>IF(Contents!$B$2=2,"Yes","Да")</f>
        <v>Да</v>
      </c>
      <c r="Q131" s="29"/>
      <c r="R131" s="587"/>
      <c r="S131" s="465"/>
      <c r="T131" s="590"/>
      <c r="U131" s="590"/>
      <c r="V131" s="589"/>
      <c r="W131" s="558">
        <v>2</v>
      </c>
      <c r="X131" s="589"/>
      <c r="Y131" s="595"/>
      <c r="Z131" s="785"/>
      <c r="AA131" s="785"/>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c r="IJ131" s="14"/>
      <c r="IK131" s="14"/>
      <c r="IL131" s="14"/>
      <c r="IM131" s="14"/>
      <c r="IN131" s="14"/>
      <c r="IO131" s="14"/>
      <c r="IP131" s="14"/>
    </row>
    <row r="132" spans="1:250" s="1" customFormat="1" ht="31.35" customHeight="1">
      <c r="A132" s="851"/>
      <c r="B132" s="177" t="str">
        <f>IF(Contents!$B$2=2,"Processing / Downstream facilities","Предприятия переработки")</f>
        <v>Предприятия переработки</v>
      </c>
      <c r="C132" s="178" t="str">
        <f>IF(Contents!$B$2=2,"GJ / boe","ГДж / бнэ")</f>
        <v>ГДж / бнэ</v>
      </c>
      <c r="D132" s="168" t="s">
        <v>185</v>
      </c>
      <c r="E132" s="168" t="s">
        <v>185</v>
      </c>
      <c r="F132" s="168" t="s">
        <v>185</v>
      </c>
      <c r="G132" s="168" t="s">
        <v>185</v>
      </c>
      <c r="H132" s="168" t="s">
        <v>185</v>
      </c>
      <c r="I132" s="168" t="s">
        <v>185</v>
      </c>
      <c r="J132" s="168" t="s">
        <v>185</v>
      </c>
      <c r="K132" s="168" t="s">
        <v>185</v>
      </c>
      <c r="L132" s="836">
        <v>1.8589147286821705E-3</v>
      </c>
      <c r="M132" s="836">
        <v>1.9154042297885106E-3</v>
      </c>
      <c r="N132" s="837">
        <v>1.9167904903417533E-3</v>
      </c>
      <c r="O132" s="871"/>
      <c r="P132" s="558"/>
      <c r="Q132" s="29"/>
      <c r="R132" s="587"/>
      <c r="S132" s="465"/>
      <c r="T132" s="590"/>
      <c r="U132" s="590"/>
      <c r="V132" s="589"/>
      <c r="W132" s="558">
        <v>2</v>
      </c>
      <c r="X132" s="589"/>
      <c r="Y132" s="595"/>
      <c r="Z132" s="785"/>
      <c r="AA132" s="785"/>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row>
    <row r="133" spans="1:250" s="1" customFormat="1">
      <c r="A133" s="851"/>
      <c r="B133" s="225"/>
      <c r="C133" s="180"/>
      <c r="D133" s="543"/>
      <c r="E133" s="543"/>
      <c r="F133" s="543"/>
      <c r="G133" s="543"/>
      <c r="H133" s="543"/>
      <c r="I133" s="543"/>
      <c r="J133" s="543"/>
      <c r="K133" s="543"/>
      <c r="L133" s="543"/>
      <c r="M133" s="543"/>
      <c r="N133" s="543"/>
      <c r="O133" s="29"/>
      <c r="P133" s="558"/>
      <c r="Q133" s="29"/>
      <c r="R133" s="590"/>
      <c r="S133" s="590"/>
      <c r="T133" s="590"/>
      <c r="U133" s="590"/>
      <c r="V133" s="589"/>
      <c r="W133" s="558"/>
      <c r="X133" s="589"/>
      <c r="Y133" s="595"/>
      <c r="Z133" s="785"/>
      <c r="AA133" s="785"/>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c r="IJ133" s="14"/>
      <c r="IK133" s="14"/>
      <c r="IL133" s="14"/>
      <c r="IM133" s="14"/>
      <c r="IN133" s="14"/>
      <c r="IO133" s="14"/>
      <c r="IP133" s="14"/>
    </row>
    <row r="134" spans="1:250" s="1" customFormat="1">
      <c r="A134" s="851"/>
      <c r="B134" s="25" t="str">
        <f>IF(Contents!$B$2=2,"Notes:","Примечания:")</f>
        <v>Примечания:</v>
      </c>
      <c r="C134" s="180"/>
      <c r="D134" s="543"/>
      <c r="E134" s="543"/>
      <c r="F134" s="543"/>
      <c r="G134" s="543"/>
      <c r="H134" s="543"/>
      <c r="I134" s="543"/>
      <c r="J134" s="543"/>
      <c r="K134" s="543"/>
      <c r="L134" s="543"/>
      <c r="M134" s="543"/>
      <c r="N134" s="543"/>
      <c r="O134" s="29"/>
      <c r="P134" s="558"/>
      <c r="Q134" s="29"/>
      <c r="R134" s="590"/>
      <c r="S134" s="590"/>
      <c r="T134" s="590"/>
      <c r="U134" s="590"/>
      <c r="V134" s="589"/>
      <c r="W134" s="558"/>
      <c r="X134" s="589"/>
      <c r="Y134" s="595"/>
      <c r="Z134" s="785"/>
      <c r="AA134" s="785"/>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row>
    <row r="135" spans="1:250" s="1" customFormat="1" ht="23.45" customHeight="1">
      <c r="A135" s="851"/>
      <c r="B135" s="26" t="str">
        <f>IF(Contents!$B$2=2, AA135, Z135)</f>
        <v>Сокращение удельного потребления электроэнергии от процесса добычи нефти в 2024 году обусловлено вводом Харбейского месторождения в разработку.</v>
      </c>
      <c r="C135" s="180"/>
      <c r="D135" s="543"/>
      <c r="E135" s="543"/>
      <c r="F135" s="543"/>
      <c r="G135" s="543"/>
      <c r="H135" s="543"/>
      <c r="I135" s="543"/>
      <c r="J135" s="543"/>
      <c r="K135" s="543"/>
      <c r="L135" s="543"/>
      <c r="M135" s="543"/>
      <c r="N135" s="543"/>
      <c r="O135" s="29"/>
      <c r="P135" s="558"/>
      <c r="Q135" s="29"/>
      <c r="R135" s="590"/>
      <c r="S135" s="590"/>
      <c r="T135" s="590"/>
      <c r="U135" s="590"/>
      <c r="V135" s="589"/>
      <c r="W135" s="558"/>
      <c r="X135" s="589"/>
      <c r="Y135" s="595"/>
      <c r="Z135" s="114" t="s">
        <v>70</v>
      </c>
      <c r="AA135" s="227" t="s">
        <v>71</v>
      </c>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row>
    <row r="136" spans="1:250" s="1" customFormat="1">
      <c r="A136" s="851"/>
      <c r="B136" s="26" t="str">
        <f>IF(Contents!$B$2=2, AA138, Z138)</f>
        <v>Рост показателя удельного потребления электроэнергии от процесса переработки конденсата в 2024 году связан с внедрением технологии гидрокрекинга.</v>
      </c>
      <c r="C136" s="180"/>
      <c r="D136" s="543"/>
      <c r="E136" s="543"/>
      <c r="F136" s="543"/>
      <c r="G136" s="543"/>
      <c r="H136" s="543"/>
      <c r="I136" s="543"/>
      <c r="J136" s="543"/>
      <c r="K136" s="543"/>
      <c r="L136" s="543"/>
      <c r="M136" s="543"/>
      <c r="N136" s="543"/>
      <c r="O136" s="29"/>
      <c r="P136" s="558"/>
      <c r="Q136" s="29"/>
      <c r="R136" s="590"/>
      <c r="S136" s="590"/>
      <c r="T136" s="590"/>
      <c r="U136" s="590"/>
      <c r="V136" s="589"/>
      <c r="W136" s="558"/>
      <c r="X136" s="589"/>
      <c r="Y136" s="595"/>
      <c r="Z136" s="785"/>
      <c r="AA136" s="785"/>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row>
    <row r="137" spans="1:250" s="1" customFormat="1">
      <c r="A137" s="851"/>
      <c r="B137" s="26" t="str">
        <f>IF(Contents!$B$2=2, AA137, Z137)</f>
        <v>С 2024 года в расчет показателя удельного потребления электроэнергии от процесса сжижения газа помимо значения по производству и отгрузке СПГ и конденсата ОАО «Ямал СПГ» включены производство и отгрузка СПГ ООО «Криогаз Высоцк». Показатели за предыдущие годы были пересчитаны.</v>
      </c>
      <c r="D137" s="543"/>
      <c r="E137" s="543"/>
      <c r="F137" s="543"/>
      <c r="G137" s="543"/>
      <c r="H137" s="543"/>
      <c r="I137" s="543"/>
      <c r="J137" s="543"/>
      <c r="K137" s="543"/>
      <c r="L137" s="543"/>
      <c r="M137" s="543"/>
      <c r="N137" s="543"/>
      <c r="O137" s="29"/>
      <c r="P137" s="558"/>
      <c r="Q137" s="29"/>
      <c r="R137" s="590"/>
      <c r="S137" s="590"/>
      <c r="T137" s="590"/>
      <c r="U137" s="590"/>
      <c r="V137" s="589"/>
      <c r="W137" s="558"/>
      <c r="X137" s="589"/>
      <c r="Y137" s="595"/>
      <c r="Z137" s="114" t="s">
        <v>74</v>
      </c>
      <c r="AA137" s="114" t="s">
        <v>75</v>
      </c>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row>
    <row r="138" spans="1:250" s="228" customFormat="1" ht="18.75" customHeight="1">
      <c r="A138" s="851"/>
      <c r="B138" s="26"/>
      <c r="H138" s="556"/>
      <c r="I138" s="556"/>
      <c r="J138" s="556"/>
      <c r="K138" s="556"/>
      <c r="L138" s="556"/>
      <c r="M138" s="556"/>
      <c r="N138" s="556"/>
      <c r="O138" s="229"/>
      <c r="P138" s="600"/>
      <c r="Q138" s="229"/>
      <c r="R138" s="591"/>
      <c r="S138" s="591"/>
      <c r="T138" s="591"/>
      <c r="U138" s="591"/>
      <c r="V138" s="599"/>
      <c r="W138" s="600"/>
      <c r="X138" s="599"/>
      <c r="Y138" s="601"/>
      <c r="Z138" s="114" t="s">
        <v>72</v>
      </c>
      <c r="AA138" s="227" t="s">
        <v>73</v>
      </c>
      <c r="AB138" s="226" t="s">
        <v>225</v>
      </c>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6"/>
      <c r="BA138" s="226"/>
      <c r="BB138" s="226"/>
      <c r="BC138" s="226"/>
      <c r="BD138" s="226"/>
      <c r="BE138" s="226"/>
      <c r="BF138" s="226"/>
      <c r="BG138" s="226"/>
      <c r="BH138" s="226"/>
      <c r="BI138" s="226"/>
      <c r="BJ138" s="226"/>
      <c r="BK138" s="226"/>
      <c r="BL138" s="226"/>
      <c r="BM138" s="226"/>
      <c r="BN138" s="226"/>
      <c r="BO138" s="226"/>
      <c r="BP138" s="226"/>
      <c r="BQ138" s="226"/>
      <c r="BR138" s="226"/>
      <c r="BS138" s="226"/>
      <c r="BT138" s="226"/>
      <c r="BU138" s="226"/>
      <c r="BV138" s="226"/>
      <c r="BW138" s="226"/>
      <c r="BX138" s="226"/>
      <c r="BY138" s="226"/>
      <c r="BZ138" s="226"/>
      <c r="CA138" s="226"/>
      <c r="CB138" s="226"/>
      <c r="CC138" s="226"/>
      <c r="CD138" s="226"/>
      <c r="CE138" s="226"/>
      <c r="CF138" s="226"/>
      <c r="CG138" s="226"/>
      <c r="CH138" s="226"/>
      <c r="CI138" s="226"/>
      <c r="CJ138" s="226"/>
      <c r="CK138" s="226"/>
      <c r="CL138" s="226"/>
      <c r="CM138" s="226"/>
      <c r="CN138" s="226"/>
      <c r="CO138" s="226"/>
      <c r="CP138" s="226"/>
      <c r="CQ138" s="226"/>
      <c r="CR138" s="226"/>
      <c r="CS138" s="226"/>
      <c r="CT138" s="226"/>
      <c r="CU138" s="226"/>
      <c r="CV138" s="226"/>
      <c r="CW138" s="226"/>
      <c r="CX138" s="226"/>
      <c r="CY138" s="226"/>
      <c r="CZ138" s="226"/>
      <c r="DA138" s="226"/>
      <c r="DB138" s="226"/>
      <c r="DC138" s="226"/>
      <c r="DD138" s="226"/>
      <c r="DE138" s="226"/>
      <c r="DF138" s="226"/>
      <c r="DG138" s="226"/>
      <c r="DH138" s="226"/>
      <c r="DI138" s="226"/>
      <c r="DJ138" s="226"/>
      <c r="DK138" s="226"/>
      <c r="DL138" s="226"/>
      <c r="DM138" s="226"/>
      <c r="DN138" s="226"/>
      <c r="DO138" s="226"/>
      <c r="DP138" s="226"/>
      <c r="DQ138" s="226"/>
      <c r="DR138" s="226"/>
      <c r="DS138" s="226"/>
      <c r="DT138" s="226"/>
      <c r="DU138" s="226"/>
      <c r="DV138" s="226"/>
      <c r="DW138" s="226"/>
      <c r="DX138" s="226"/>
      <c r="DY138" s="226"/>
      <c r="DZ138" s="226"/>
      <c r="EA138" s="226"/>
      <c r="EB138" s="226"/>
      <c r="EC138" s="226"/>
      <c r="ED138" s="226"/>
      <c r="EE138" s="226"/>
      <c r="EF138" s="226"/>
      <c r="EG138" s="226"/>
      <c r="EH138" s="226"/>
      <c r="EI138" s="226"/>
      <c r="EJ138" s="226"/>
      <c r="EK138" s="226"/>
      <c r="EL138" s="226"/>
      <c r="EM138" s="226"/>
      <c r="EN138" s="226"/>
      <c r="EO138" s="226"/>
      <c r="EP138" s="226"/>
      <c r="EQ138" s="226"/>
      <c r="ER138" s="226"/>
      <c r="ES138" s="226"/>
      <c r="ET138" s="226"/>
      <c r="EU138" s="226"/>
      <c r="EV138" s="226"/>
      <c r="EW138" s="226"/>
      <c r="EX138" s="226"/>
      <c r="EY138" s="226"/>
      <c r="EZ138" s="226"/>
      <c r="FA138" s="226"/>
      <c r="FB138" s="226"/>
      <c r="FC138" s="226"/>
      <c r="FD138" s="226"/>
      <c r="FE138" s="226"/>
      <c r="FF138" s="226"/>
      <c r="FG138" s="226"/>
      <c r="FH138" s="226"/>
      <c r="FI138" s="226"/>
      <c r="FJ138" s="226"/>
      <c r="FK138" s="226"/>
      <c r="FL138" s="226"/>
      <c r="FM138" s="226"/>
      <c r="FN138" s="226"/>
      <c r="FO138" s="226"/>
      <c r="FP138" s="226"/>
      <c r="FQ138" s="226"/>
      <c r="FR138" s="226"/>
      <c r="FS138" s="226"/>
      <c r="FT138" s="226"/>
      <c r="FU138" s="226"/>
      <c r="FV138" s="226"/>
      <c r="FW138" s="226"/>
      <c r="FX138" s="226"/>
      <c r="FY138" s="226"/>
      <c r="FZ138" s="226"/>
      <c r="GA138" s="226"/>
      <c r="GB138" s="226"/>
      <c r="GC138" s="226"/>
      <c r="GD138" s="226"/>
      <c r="GE138" s="226"/>
      <c r="GF138" s="226"/>
      <c r="GG138" s="226"/>
      <c r="GH138" s="226"/>
      <c r="GI138" s="226"/>
      <c r="GJ138" s="226"/>
      <c r="GK138" s="226"/>
      <c r="GL138" s="226"/>
      <c r="GM138" s="226"/>
      <c r="GN138" s="226"/>
      <c r="GO138" s="226"/>
      <c r="GP138" s="226"/>
      <c r="GQ138" s="226"/>
      <c r="GR138" s="226"/>
      <c r="GS138" s="226"/>
      <c r="GT138" s="226"/>
      <c r="GU138" s="226"/>
      <c r="GV138" s="226"/>
      <c r="GW138" s="226"/>
      <c r="GX138" s="226"/>
      <c r="GY138" s="226"/>
      <c r="GZ138" s="226"/>
      <c r="HA138" s="226"/>
      <c r="HB138" s="226"/>
      <c r="HC138" s="226"/>
      <c r="HD138" s="226"/>
      <c r="HE138" s="226"/>
      <c r="HF138" s="226"/>
      <c r="HG138" s="226"/>
      <c r="HH138" s="226"/>
      <c r="HI138" s="226"/>
      <c r="HJ138" s="226"/>
      <c r="HK138" s="226"/>
      <c r="HL138" s="226"/>
      <c r="HM138" s="226"/>
      <c r="HN138" s="226"/>
      <c r="HO138" s="226"/>
      <c r="HP138" s="226"/>
      <c r="HQ138" s="226"/>
      <c r="HR138" s="226"/>
      <c r="HS138" s="226"/>
      <c r="HT138" s="226"/>
      <c r="HU138" s="226"/>
      <c r="HV138" s="226"/>
      <c r="HW138" s="226"/>
      <c r="HX138" s="226"/>
      <c r="HY138" s="226"/>
      <c r="HZ138" s="226"/>
      <c r="IA138" s="226"/>
      <c r="IB138" s="226"/>
      <c r="IC138" s="226"/>
      <c r="ID138" s="226"/>
      <c r="IE138" s="226"/>
      <c r="IF138" s="226"/>
      <c r="IG138" s="226"/>
      <c r="IH138" s="226"/>
      <c r="II138" s="226"/>
      <c r="IJ138" s="226"/>
      <c r="IK138" s="226"/>
      <c r="IL138" s="226"/>
      <c r="IM138" s="226"/>
      <c r="IN138" s="226"/>
      <c r="IO138" s="226"/>
      <c r="IP138" s="226"/>
    </row>
    <row r="139" spans="1:250" s="1" customFormat="1" ht="25.5">
      <c r="A139" s="851"/>
      <c r="B139" s="162" t="str">
        <f>IF(Contents!$B$2=2,"Energy consumption from RES and low-carbon sources","Потребление энергии из ВИЭ и низкоуглеродных источников")</f>
        <v>Потребление энергии из ВИЭ и низкоуглеродных источников</v>
      </c>
      <c r="C139" s="42" t="str">
        <f>IF(Contents!$B$2=2,"th. kWh","тыс. кВт·ч")</f>
        <v>тыс. кВт·ч</v>
      </c>
      <c r="D139" s="163" t="s">
        <v>185</v>
      </c>
      <c r="E139" s="163" t="s">
        <v>185</v>
      </c>
      <c r="F139" s="163" t="s">
        <v>185</v>
      </c>
      <c r="G139" s="163" t="s">
        <v>185</v>
      </c>
      <c r="H139" s="163" t="s">
        <v>185</v>
      </c>
      <c r="I139" s="163" t="s">
        <v>185</v>
      </c>
      <c r="J139" s="163" t="s">
        <v>185</v>
      </c>
      <c r="K139" s="295">
        <v>23239</v>
      </c>
      <c r="L139" s="295">
        <v>63691</v>
      </c>
      <c r="M139" s="295">
        <v>71332</v>
      </c>
      <c r="N139" s="295">
        <v>367</v>
      </c>
      <c r="O139" s="29"/>
      <c r="P139" s="558" t="str">
        <f>IF(Contents!$B$2=2,"Yes","Да")</f>
        <v>Да</v>
      </c>
      <c r="Q139" s="29"/>
      <c r="R139" s="465" t="s">
        <v>64</v>
      </c>
      <c r="S139" s="465"/>
      <c r="T139" s="590"/>
      <c r="U139" s="273" t="str">
        <f>IF(Contents!$B$2=2,"PBCS 12","СОКБ 12")</f>
        <v>СОКБ 12</v>
      </c>
      <c r="V139" s="589"/>
      <c r="W139" s="558">
        <v>2</v>
      </c>
      <c r="X139" s="589"/>
      <c r="Y139" s="595"/>
      <c r="Z139" s="785"/>
      <c r="AA139" s="785"/>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row>
    <row r="140" spans="1:250" s="1" customFormat="1">
      <c r="A140" s="851"/>
      <c r="B140" s="230" t="str">
        <f>IF(Contents!$B$2=2,"Consumption of energy generated by the Company from RES","Потребление энергии, выработанной Компанией из ВИЭ")</f>
        <v>Потребление энергии, выработанной Компанией из ВИЭ</v>
      </c>
      <c r="C140" s="12" t="str">
        <f>IF(Contents!$B$2=2,"th. kWh","тыс. кВт·ч")</f>
        <v>тыс. кВт·ч</v>
      </c>
      <c r="D140" s="168" t="s">
        <v>185</v>
      </c>
      <c r="E140" s="221">
        <v>292</v>
      </c>
      <c r="F140" s="205">
        <v>300</v>
      </c>
      <c r="G140" s="205">
        <v>347</v>
      </c>
      <c r="H140" s="205">
        <v>263</v>
      </c>
      <c r="I140" s="205">
        <v>222</v>
      </c>
      <c r="J140" s="205">
        <v>209</v>
      </c>
      <c r="K140" s="205">
        <v>322</v>
      </c>
      <c r="L140" s="205">
        <v>324</v>
      </c>
      <c r="M140" s="205">
        <v>311</v>
      </c>
      <c r="N140" s="206">
        <v>367</v>
      </c>
      <c r="O140" s="29"/>
      <c r="P140" s="558" t="str">
        <f>IF(Contents!$B$2=2,"Yes","Да")</f>
        <v>Да</v>
      </c>
      <c r="Q140" s="29"/>
      <c r="R140" s="590"/>
      <c r="S140" s="590"/>
      <c r="T140" s="590"/>
      <c r="U140" s="590"/>
      <c r="V140" s="589"/>
      <c r="W140" s="558">
        <v>2</v>
      </c>
      <c r="X140" s="589"/>
      <c r="Y140" s="595"/>
      <c r="Z140" s="785"/>
      <c r="AA140" s="785"/>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row>
    <row r="141" spans="1:250" s="1" customFormat="1">
      <c r="A141" s="851"/>
      <c r="B141" s="223" t="str">
        <f>IF(Contents!$B$2=2,"Wind turbines","Ветряные турбины")</f>
        <v>Ветряные турбины</v>
      </c>
      <c r="C141" s="12" t="str">
        <f>IF(Contents!$B$2=2,"th. kWh","тыс. кВт·ч")</f>
        <v>тыс. кВт·ч</v>
      </c>
      <c r="D141" s="168" t="s">
        <v>185</v>
      </c>
      <c r="E141" s="168" t="s">
        <v>185</v>
      </c>
      <c r="F141" s="168" t="s">
        <v>185</v>
      </c>
      <c r="G141" s="205">
        <v>145</v>
      </c>
      <c r="H141" s="205">
        <v>116</v>
      </c>
      <c r="I141" s="222">
        <v>76</v>
      </c>
      <c r="J141" s="222">
        <v>80</v>
      </c>
      <c r="K141" s="231">
        <v>116</v>
      </c>
      <c r="L141" s="231">
        <v>131</v>
      </c>
      <c r="M141" s="231">
        <v>99</v>
      </c>
      <c r="N141" s="27">
        <v>131</v>
      </c>
      <c r="O141" s="29"/>
      <c r="P141" s="558" t="str">
        <f>IF(Contents!$B$2=2,"Yes","Да")</f>
        <v>Да</v>
      </c>
      <c r="Q141" s="29"/>
      <c r="R141" s="589"/>
      <c r="S141" s="589"/>
      <c r="T141" s="589"/>
      <c r="U141" s="589"/>
      <c r="V141" s="589"/>
      <c r="W141" s="558">
        <v>2</v>
      </c>
      <c r="X141" s="589"/>
      <c r="Y141" s="589"/>
      <c r="Z141" s="785"/>
      <c r="AA141" s="785"/>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row>
    <row r="142" spans="1:250" s="1" customFormat="1">
      <c r="A142" s="851"/>
      <c r="B142" s="223" t="str">
        <f>IF(Contents!$B$2=2,"Solar modules","Солнечные модули")</f>
        <v>Солнечные модули</v>
      </c>
      <c r="C142" s="12" t="str">
        <f>IF(Contents!$B$2=2,"th. kWh","тыс. кВт·ч")</f>
        <v>тыс. кВт·ч</v>
      </c>
      <c r="D142" s="168" t="s">
        <v>185</v>
      </c>
      <c r="E142" s="168" t="s">
        <v>185</v>
      </c>
      <c r="F142" s="168" t="s">
        <v>185</v>
      </c>
      <c r="G142" s="205">
        <v>202</v>
      </c>
      <c r="H142" s="205">
        <v>147</v>
      </c>
      <c r="I142" s="222">
        <v>146</v>
      </c>
      <c r="J142" s="222">
        <v>129</v>
      </c>
      <c r="K142" s="231">
        <v>206</v>
      </c>
      <c r="L142" s="231">
        <v>193</v>
      </c>
      <c r="M142" s="231">
        <v>212</v>
      </c>
      <c r="N142" s="27">
        <v>236</v>
      </c>
      <c r="O142" s="29"/>
      <c r="P142" s="558" t="str">
        <f>IF(Contents!$B$2=2,"Yes","Да")</f>
        <v>Да</v>
      </c>
      <c r="Q142" s="29"/>
      <c r="R142" s="589"/>
      <c r="S142" s="589"/>
      <c r="T142" s="589"/>
      <c r="U142" s="589"/>
      <c r="V142" s="589"/>
      <c r="W142" s="558">
        <v>2</v>
      </c>
      <c r="X142" s="589"/>
      <c r="Y142" s="589"/>
      <c r="Z142" s="785"/>
      <c r="AA142" s="785"/>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row>
    <row r="143" spans="1:250" s="1" customFormat="1" ht="41.25" customHeight="1">
      <c r="A143" s="851"/>
      <c r="B143" s="218" t="str">
        <f>IF(Contents!$B$2=2,"Consumption of purchased low-carbon energy from RES with acquisition of generation attributes","Потребление закупленной низкоуглеродной энергии из ВИЭ")</f>
        <v>Потребление закупленной низкоуглеродной энергии из ВИЭ</v>
      </c>
      <c r="C143" s="12" t="str">
        <f>IF(Contents!$B$2=2,"th. kWh","тыс. кВт·ч")</f>
        <v>тыс. кВт·ч</v>
      </c>
      <c r="D143" s="168" t="s">
        <v>185</v>
      </c>
      <c r="E143" s="168" t="s">
        <v>185</v>
      </c>
      <c r="F143" s="168" t="s">
        <v>185</v>
      </c>
      <c r="G143" s="168" t="s">
        <v>185</v>
      </c>
      <c r="H143" s="168" t="s">
        <v>185</v>
      </c>
      <c r="I143" s="168" t="s">
        <v>185</v>
      </c>
      <c r="J143" s="168" t="s">
        <v>185</v>
      </c>
      <c r="K143" s="205">
        <v>22917</v>
      </c>
      <c r="L143" s="205">
        <v>63367</v>
      </c>
      <c r="M143" s="205">
        <v>71021</v>
      </c>
      <c r="N143" s="206">
        <v>0</v>
      </c>
      <c r="O143" s="29"/>
      <c r="P143" s="558" t="str">
        <f>IF(Contents!$B$2=2,"Yes","Да")</f>
        <v>Да</v>
      </c>
      <c r="Q143" s="29"/>
      <c r="R143" s="589" t="s">
        <v>52</v>
      </c>
      <c r="S143" s="589"/>
      <c r="T143" s="589"/>
      <c r="U143" s="589"/>
      <c r="V143" s="589"/>
      <c r="W143" s="558">
        <v>2</v>
      </c>
      <c r="X143" s="589"/>
      <c r="Y143" s="589"/>
      <c r="Z143" s="785"/>
      <c r="AA143" s="785"/>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row>
    <row r="144" spans="1:250" s="1" customFormat="1">
      <c r="A144" s="851"/>
      <c r="B144" s="232" t="str">
        <f>IF(Contents!$B$2=2,"Energy from RES purchased with acquisition of generation attributes","Энергия из ВИЭ, закупленная с приобретением атрибутов генерации")</f>
        <v>Энергия из ВИЭ, закупленная с приобретением атрибутов генерации</v>
      </c>
      <c r="C144" s="12" t="str">
        <f>IF(Contents!$B$2=2,"th. kWh","тыс. кВт·ч")</f>
        <v>тыс. кВт·ч</v>
      </c>
      <c r="D144" s="168" t="s">
        <v>185</v>
      </c>
      <c r="E144" s="168" t="s">
        <v>185</v>
      </c>
      <c r="F144" s="168" t="s">
        <v>185</v>
      </c>
      <c r="G144" s="168" t="s">
        <v>185</v>
      </c>
      <c r="H144" s="168" t="s">
        <v>185</v>
      </c>
      <c r="I144" s="168" t="s">
        <v>185</v>
      </c>
      <c r="J144" s="168" t="s">
        <v>185</v>
      </c>
      <c r="K144" s="168">
        <v>0</v>
      </c>
      <c r="L144" s="168">
        <v>0</v>
      </c>
      <c r="M144" s="168">
        <v>71021</v>
      </c>
      <c r="N144" s="206">
        <v>0</v>
      </c>
      <c r="O144" s="29"/>
      <c r="P144" s="558" t="str">
        <f>IF(Contents!$B$2=2,"Yes","Да")</f>
        <v>Да</v>
      </c>
      <c r="Q144" s="29"/>
      <c r="R144" s="589" t="s">
        <v>52</v>
      </c>
      <c r="S144" s="589"/>
      <c r="T144" s="589"/>
      <c r="U144" s="589"/>
      <c r="V144" s="589"/>
      <c r="W144" s="558">
        <v>2</v>
      </c>
      <c r="X144" s="589"/>
      <c r="Y144" s="589"/>
      <c r="Z144" s="785"/>
      <c r="AA144" s="785"/>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row>
    <row r="145" spans="1:250" s="1" customFormat="1" ht="36">
      <c r="A145" s="851"/>
      <c r="B145" s="232" t="str">
        <f>IF(Contents!$B$2=2,"Energy from RES purchased under the scheme of free bilateral purchase agreements (BPAs)","Энергия из ВИЭ, закупленная по схеме свободных двусторонних договоров купли-продажи (СДД)")</f>
        <v>Энергия из ВИЭ, закупленная по схеме свободных двусторонних договоров купли-продажи (СДД)</v>
      </c>
      <c r="C145" s="12" t="str">
        <f>IF(Contents!$B$2=2,"th. kWh","тыс. кВт·ч")</f>
        <v>тыс. кВт·ч</v>
      </c>
      <c r="D145" s="168" t="s">
        <v>185</v>
      </c>
      <c r="E145" s="168" t="s">
        <v>185</v>
      </c>
      <c r="F145" s="168" t="s">
        <v>185</v>
      </c>
      <c r="G145" s="168" t="s">
        <v>185</v>
      </c>
      <c r="H145" s="168" t="s">
        <v>185</v>
      </c>
      <c r="I145" s="168" t="s">
        <v>185</v>
      </c>
      <c r="J145" s="168" t="s">
        <v>185</v>
      </c>
      <c r="K145" s="205">
        <v>22917</v>
      </c>
      <c r="L145" s="205">
        <v>63367</v>
      </c>
      <c r="M145" s="830">
        <v>0</v>
      </c>
      <c r="N145" s="233" t="s">
        <v>136</v>
      </c>
      <c r="O145" s="29"/>
      <c r="P145" s="558" t="str">
        <f>IF(Contents!$B$2=2,"Yes","Да")</f>
        <v>Да</v>
      </c>
      <c r="Q145" s="29"/>
      <c r="R145" s="589"/>
      <c r="S145" s="589"/>
      <c r="T145" s="589"/>
      <c r="U145" s="589"/>
      <c r="V145" s="589"/>
      <c r="W145" s="558">
        <v>2</v>
      </c>
      <c r="X145" s="589"/>
      <c r="Y145" s="589"/>
      <c r="Z145" s="785"/>
      <c r="AA145" s="785"/>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row>
    <row r="146" spans="1:250" s="1" customFormat="1" ht="42.6" customHeight="1">
      <c r="A146" s="851"/>
      <c r="B146" s="230" t="str">
        <f>IF(Contents!$B$2=2,"Share of renewables in total electricity generation","Доля ВИЭ в общем производстве электроэнергии")</f>
        <v>Доля ВИЭ в общем производстве электроэнергии</v>
      </c>
      <c r="C146" s="12" t="s">
        <v>0</v>
      </c>
      <c r="D146" s="168" t="s">
        <v>185</v>
      </c>
      <c r="E146" s="168" t="s">
        <v>185</v>
      </c>
      <c r="F146" s="234">
        <v>0.1</v>
      </c>
      <c r="G146" s="224">
        <v>0.02</v>
      </c>
      <c r="H146" s="224">
        <v>0.01</v>
      </c>
      <c r="I146" s="224">
        <v>0.01</v>
      </c>
      <c r="J146" s="224">
        <v>0.01</v>
      </c>
      <c r="K146" s="224">
        <v>0.01</v>
      </c>
      <c r="L146" s="224">
        <v>0.01</v>
      </c>
      <c r="M146" s="224">
        <v>0.01</v>
      </c>
      <c r="N146" s="831">
        <v>0.01</v>
      </c>
      <c r="O146" s="872"/>
      <c r="P146" s="558" t="str">
        <f>IF(Contents!$B$2=2,"Yes","Да")</f>
        <v>Да</v>
      </c>
      <c r="Q146" s="29"/>
      <c r="R146" s="589"/>
      <c r="S146" s="589"/>
      <c r="T146" s="589"/>
      <c r="U146" s="589"/>
      <c r="V146" s="589"/>
      <c r="W146" s="558">
        <v>2</v>
      </c>
      <c r="X146" s="589"/>
      <c r="Y146" s="589"/>
      <c r="Z146" s="785"/>
      <c r="AA146" s="785"/>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c r="IJ146" s="14"/>
      <c r="IK146" s="14"/>
      <c r="IL146" s="14"/>
      <c r="IM146" s="14"/>
      <c r="IN146" s="14"/>
      <c r="IO146" s="14"/>
      <c r="IP146" s="14"/>
    </row>
    <row r="147" spans="1:250" s="1" customFormat="1">
      <c r="A147" s="851"/>
      <c r="B147" s="230" t="str">
        <f>IF(Contents!$B$2=2,"Number of renewable energy sources","Количество ВИЭ")</f>
        <v>Количество ВИЭ</v>
      </c>
      <c r="C147" s="12" t="str">
        <f>IF(Contents!$B$2=2,"unit","ед.")</f>
        <v>ед.</v>
      </c>
      <c r="D147" s="205">
        <v>54</v>
      </c>
      <c r="E147" s="205">
        <v>54</v>
      </c>
      <c r="F147" s="205">
        <v>128</v>
      </c>
      <c r="G147" s="205">
        <v>124</v>
      </c>
      <c r="H147" s="205">
        <v>132</v>
      </c>
      <c r="I147" s="222">
        <v>148</v>
      </c>
      <c r="J147" s="222">
        <v>148</v>
      </c>
      <c r="K147" s="222">
        <v>167</v>
      </c>
      <c r="L147" s="222">
        <v>175</v>
      </c>
      <c r="M147" s="222">
        <v>187</v>
      </c>
      <c r="N147" s="200">
        <v>200</v>
      </c>
      <c r="O147" s="817"/>
      <c r="P147" s="558" t="str">
        <f>IF(Contents!$B$2=2,"Yes","Да")</f>
        <v>Да</v>
      </c>
      <c r="Q147" s="29"/>
      <c r="R147" s="589"/>
      <c r="S147" s="589"/>
      <c r="T147" s="589"/>
      <c r="U147" s="589"/>
      <c r="V147" s="589"/>
      <c r="W147" s="558">
        <v>2</v>
      </c>
      <c r="X147" s="589"/>
      <c r="Y147" s="589"/>
      <c r="Z147" s="785"/>
      <c r="AA147" s="785"/>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c r="HM147" s="14"/>
      <c r="HN147" s="14"/>
      <c r="HO147" s="14"/>
      <c r="HP147" s="14"/>
      <c r="HQ147" s="14"/>
      <c r="HR147" s="14"/>
      <c r="HS147" s="14"/>
      <c r="HT147" s="14"/>
      <c r="HU147" s="14"/>
      <c r="HV147" s="14"/>
      <c r="HW147" s="14"/>
      <c r="HX147" s="14"/>
      <c r="HY147" s="14"/>
      <c r="HZ147" s="14"/>
      <c r="IA147" s="14"/>
      <c r="IB147" s="14"/>
      <c r="IC147" s="14"/>
      <c r="ID147" s="14"/>
      <c r="IE147" s="14"/>
      <c r="IF147" s="14"/>
      <c r="IG147" s="14"/>
      <c r="IH147" s="14"/>
      <c r="II147" s="14"/>
      <c r="IJ147" s="14"/>
      <c r="IK147" s="14"/>
      <c r="IL147" s="14"/>
      <c r="IM147" s="14"/>
      <c r="IN147" s="14"/>
      <c r="IO147" s="14"/>
      <c r="IP147" s="14"/>
    </row>
    <row r="148" spans="1:250" s="1" customFormat="1">
      <c r="A148" s="851"/>
      <c r="B148" s="230" t="str">
        <f>IF(Contents!$B$2=2,"Investments in renewables","Объем инвестиций в ВИЭ")</f>
        <v>Объем инвестиций в ВИЭ</v>
      </c>
      <c r="C148" s="186" t="str">
        <f>IF(Contents!$B$2=2,"RR mln","млн руб.")</f>
        <v>млн руб.</v>
      </c>
      <c r="D148" s="168" t="s">
        <v>185</v>
      </c>
      <c r="E148" s="168" t="s">
        <v>185</v>
      </c>
      <c r="F148" s="168" t="s">
        <v>185</v>
      </c>
      <c r="G148" s="168" t="s">
        <v>185</v>
      </c>
      <c r="H148" s="235">
        <v>83</v>
      </c>
      <c r="I148" s="222">
        <v>99</v>
      </c>
      <c r="J148" s="222">
        <v>225</v>
      </c>
      <c r="K148" s="222">
        <v>279</v>
      </c>
      <c r="L148" s="222">
        <v>238</v>
      </c>
      <c r="M148" s="222">
        <v>217</v>
      </c>
      <c r="N148" s="200">
        <v>157</v>
      </c>
      <c r="O148" s="817"/>
      <c r="P148" s="558" t="str">
        <f>IF(Contents!$B$2=2,"Yes","Да")</f>
        <v>Да</v>
      </c>
      <c r="Q148" s="29"/>
      <c r="R148" s="465" t="s">
        <v>76</v>
      </c>
      <c r="S148" s="465" t="s">
        <v>77</v>
      </c>
      <c r="T148" s="589"/>
      <c r="U148" s="589"/>
      <c r="V148" s="589"/>
      <c r="W148" s="558">
        <v>2</v>
      </c>
      <c r="X148" s="589"/>
      <c r="Y148" s="589"/>
      <c r="Z148" s="785"/>
      <c r="AA148" s="785"/>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c r="HM148" s="14"/>
      <c r="HN148" s="14"/>
      <c r="HO148" s="14"/>
      <c r="HP148" s="14"/>
      <c r="HQ148" s="14"/>
      <c r="HR148" s="14"/>
      <c r="HS148" s="14"/>
      <c r="HT148" s="14"/>
      <c r="HU148" s="14"/>
      <c r="HV148" s="14"/>
      <c r="HW148" s="14"/>
      <c r="HX148" s="14"/>
      <c r="HY148" s="14"/>
      <c r="HZ148" s="14"/>
      <c r="IA148" s="14"/>
      <c r="IB148" s="14"/>
      <c r="IC148" s="14"/>
      <c r="ID148" s="14"/>
      <c r="IE148" s="14"/>
      <c r="IF148" s="14"/>
      <c r="IG148" s="14"/>
      <c r="IH148" s="14"/>
      <c r="II148" s="14"/>
      <c r="IJ148" s="14"/>
      <c r="IK148" s="14"/>
      <c r="IL148" s="14"/>
      <c r="IM148" s="14"/>
      <c r="IN148" s="14"/>
      <c r="IO148" s="14"/>
      <c r="IP148" s="14"/>
    </row>
    <row r="149" spans="1:250" s="1" customFormat="1">
      <c r="A149" s="851"/>
      <c r="B149" s="236" t="str">
        <f>IF(Contents!$B$2=2,"Share of investments in renewables in total investments","Доля инвестиций в ВИЭ в общем объеме инвестиций")</f>
        <v>Доля инвестиций в ВИЭ в общем объеме инвестиций</v>
      </c>
      <c r="C149" s="180" t="s">
        <v>0</v>
      </c>
      <c r="D149" s="168" t="s">
        <v>185</v>
      </c>
      <c r="E149" s="168" t="s">
        <v>185</v>
      </c>
      <c r="F149" s="168" t="s">
        <v>185</v>
      </c>
      <c r="G149" s="168" t="s">
        <v>185</v>
      </c>
      <c r="H149" s="655">
        <v>0.2</v>
      </c>
      <c r="I149" s="649">
        <v>0.5</v>
      </c>
      <c r="J149" s="245">
        <v>0.3</v>
      </c>
      <c r="K149" s="245">
        <v>0.5</v>
      </c>
      <c r="L149" s="245">
        <v>0.2</v>
      </c>
      <c r="M149" s="245">
        <v>0.2</v>
      </c>
      <c r="N149" s="28">
        <v>0.3</v>
      </c>
      <c r="O149" s="817"/>
      <c r="P149" s="558" t="str">
        <f>IF(Contents!$B$2=2,"Yes","Да")</f>
        <v>Да</v>
      </c>
      <c r="Q149" s="29"/>
      <c r="R149" s="589"/>
      <c r="S149" s="589"/>
      <c r="T149" s="589"/>
      <c r="U149" s="589"/>
      <c r="V149" s="589"/>
      <c r="W149" s="558">
        <v>2</v>
      </c>
      <c r="X149" s="589"/>
      <c r="Y149" s="589"/>
      <c r="Z149" s="785"/>
      <c r="AA149" s="785"/>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c r="HM149" s="14"/>
      <c r="HN149" s="14"/>
      <c r="HO149" s="14"/>
      <c r="HP149" s="14"/>
      <c r="HQ149" s="14"/>
      <c r="HR149" s="14"/>
      <c r="HS149" s="14"/>
      <c r="HT149" s="14"/>
      <c r="HU149" s="14"/>
      <c r="HV149" s="14"/>
      <c r="HW149" s="14"/>
      <c r="HX149" s="14"/>
      <c r="HY149" s="14"/>
      <c r="HZ149" s="14"/>
      <c r="IA149" s="14"/>
      <c r="IB149" s="14"/>
      <c r="IC149" s="14"/>
      <c r="ID149" s="14"/>
      <c r="IE149" s="14"/>
      <c r="IF149" s="14"/>
      <c r="IG149" s="14"/>
      <c r="IH149" s="14"/>
      <c r="II149" s="14"/>
      <c r="IJ149" s="14"/>
      <c r="IK149" s="14"/>
      <c r="IL149" s="14"/>
      <c r="IM149" s="14"/>
      <c r="IN149" s="14"/>
      <c r="IO149" s="14"/>
      <c r="IP149" s="14"/>
    </row>
    <row r="150" spans="1:250" s="1" customFormat="1">
      <c r="A150" s="851"/>
      <c r="B150" s="37"/>
      <c r="D150" s="543"/>
      <c r="E150" s="543"/>
      <c r="F150" s="543"/>
      <c r="G150" s="543"/>
      <c r="H150" s="37"/>
      <c r="I150" s="39"/>
      <c r="J150" s="37"/>
      <c r="K150" s="39"/>
      <c r="L150" s="557"/>
      <c r="M150" s="557"/>
      <c r="N150" s="39"/>
      <c r="O150" s="22"/>
      <c r="P150" s="589"/>
      <c r="Q150" s="22"/>
      <c r="R150" s="589"/>
      <c r="S150" s="589"/>
      <c r="T150" s="589"/>
      <c r="U150" s="589"/>
      <c r="V150" s="589"/>
      <c r="W150" s="589"/>
      <c r="X150" s="589"/>
      <c r="Y150" s="589"/>
      <c r="Z150" s="785"/>
      <c r="AA150" s="785"/>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14"/>
      <c r="HE150" s="14"/>
      <c r="HF150" s="14"/>
      <c r="HG150" s="14"/>
      <c r="HH150" s="14"/>
      <c r="HI150" s="14"/>
      <c r="HJ150" s="14"/>
      <c r="HK150" s="14"/>
      <c r="HL150" s="14"/>
      <c r="HM150" s="14"/>
      <c r="HN150" s="14"/>
      <c r="HO150" s="14"/>
      <c r="HP150" s="14"/>
      <c r="HQ150" s="14"/>
      <c r="HR150" s="14"/>
      <c r="HS150" s="14"/>
      <c r="HT150" s="14"/>
      <c r="HU150" s="14"/>
      <c r="HV150" s="14"/>
      <c r="HW150" s="14"/>
      <c r="HX150" s="14"/>
      <c r="HY150" s="14"/>
      <c r="HZ150" s="14"/>
      <c r="IA150" s="14"/>
      <c r="IB150" s="14"/>
      <c r="IC150" s="14"/>
      <c r="ID150" s="14"/>
      <c r="IE150" s="14"/>
      <c r="IF150" s="14"/>
      <c r="IG150" s="14"/>
      <c r="IH150" s="14"/>
      <c r="II150" s="14"/>
      <c r="IJ150" s="14"/>
      <c r="IK150" s="14"/>
      <c r="IL150" s="14"/>
      <c r="IM150" s="14"/>
      <c r="IN150" s="14"/>
      <c r="IO150" s="14"/>
      <c r="IP150" s="14"/>
    </row>
    <row r="151" spans="1:250" s="1" customFormat="1">
      <c r="A151" s="851"/>
      <c r="B151" s="25" t="str">
        <f>IF(Contents!$B$2=2,"Notes:","Примечания:")</f>
        <v>Примечания:</v>
      </c>
      <c r="D151" s="543"/>
      <c r="E151" s="543"/>
      <c r="F151" s="543"/>
      <c r="G151" s="543"/>
      <c r="H151" s="37"/>
      <c r="I151" s="558"/>
      <c r="J151" s="37"/>
      <c r="K151" s="558"/>
      <c r="L151" s="557"/>
      <c r="M151" s="557"/>
      <c r="N151" s="558"/>
      <c r="O151" s="22"/>
      <c r="P151" s="589"/>
      <c r="Q151" s="22"/>
      <c r="R151" s="589"/>
      <c r="S151" s="589"/>
      <c r="T151" s="589"/>
      <c r="U151" s="589"/>
      <c r="V151" s="589"/>
      <c r="W151" s="589"/>
      <c r="X151" s="589"/>
      <c r="Y151" s="589"/>
      <c r="Z151" s="785"/>
      <c r="AA151" s="785"/>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c r="HM151" s="14"/>
      <c r="HN151" s="14"/>
      <c r="HO151" s="14"/>
      <c r="HP151" s="14"/>
      <c r="HQ151" s="14"/>
      <c r="HR151" s="14"/>
      <c r="HS151" s="14"/>
      <c r="HT151" s="14"/>
      <c r="HU151" s="14"/>
      <c r="HV151" s="14"/>
      <c r="HW151" s="14"/>
      <c r="HX151" s="14"/>
      <c r="HY151" s="14"/>
      <c r="HZ151" s="14"/>
      <c r="IA151" s="14"/>
      <c r="IB151" s="14"/>
      <c r="IC151" s="14"/>
      <c r="ID151" s="14"/>
      <c r="IE151" s="14"/>
      <c r="IF151" s="14"/>
      <c r="IG151" s="14"/>
      <c r="IH151" s="14"/>
      <c r="II151" s="14"/>
      <c r="IJ151" s="14"/>
      <c r="IK151" s="14"/>
      <c r="IL151" s="14"/>
      <c r="IM151" s="14"/>
      <c r="IN151" s="14"/>
      <c r="IO151" s="14"/>
      <c r="IP151" s="14"/>
    </row>
    <row r="152" spans="1:250" s="1" customFormat="1">
      <c r="A152" s="851"/>
      <c r="B152" s="26" t="str">
        <f>IF(Contents!$B$2=2, AC155, AB155)</f>
        <v>Закупка по свободным двусторонним договорам (СДД) купли-продажи электрической энергии осуществлялась с объектов атомной и ветряной генерации. С 2024 отчетного года закупленная по такой схеме энергия не может признаваться энергией из ВИЭ без атрибутов в соответствии с Федеральным законом № 35-ФЗ «Об электроэнергетике». Объем закупленной энергии по СДД в 2024 г. составил 98 156 тыс. кВт*ч.</v>
      </c>
      <c r="D152" s="543"/>
      <c r="E152" s="543"/>
      <c r="F152" s="543"/>
      <c r="G152" s="543"/>
      <c r="H152" s="543"/>
      <c r="I152" s="543"/>
      <c r="J152" s="543"/>
      <c r="K152" s="543"/>
      <c r="L152" s="543"/>
      <c r="M152" s="543"/>
      <c r="N152" s="543"/>
      <c r="O152" s="38"/>
      <c r="P152" s="558"/>
      <c r="Q152" s="38"/>
      <c r="R152" s="590"/>
      <c r="S152" s="590"/>
      <c r="T152" s="590"/>
      <c r="U152" s="590"/>
      <c r="V152" s="589"/>
      <c r="W152" s="558"/>
      <c r="X152" s="589"/>
      <c r="Y152" s="595"/>
      <c r="Z152" s="785"/>
      <c r="AA152" s="785"/>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c r="HM152" s="14"/>
      <c r="HN152" s="14"/>
      <c r="HO152" s="14"/>
      <c r="HP152" s="14"/>
      <c r="HQ152" s="14"/>
      <c r="HR152" s="14"/>
      <c r="HS152" s="14"/>
      <c r="HT152" s="14"/>
      <c r="HU152" s="14"/>
      <c r="HV152" s="14"/>
      <c r="HW152" s="14"/>
      <c r="HX152" s="14"/>
      <c r="HY152" s="14"/>
      <c r="HZ152" s="14"/>
      <c r="IA152" s="14"/>
      <c r="IB152" s="14"/>
      <c r="IC152" s="14"/>
      <c r="ID152" s="14"/>
      <c r="IE152" s="14"/>
      <c r="IF152" s="14"/>
      <c r="IG152" s="14"/>
      <c r="IH152" s="14"/>
      <c r="II152" s="14"/>
      <c r="IJ152" s="14"/>
      <c r="IK152" s="14"/>
      <c r="IL152" s="14"/>
      <c r="IM152" s="14"/>
      <c r="IN152" s="14"/>
      <c r="IO152" s="14"/>
      <c r="IP152" s="14"/>
    </row>
    <row r="153" spans="1:250" s="1" customFormat="1" ht="18" customHeight="1">
      <c r="A153" s="851"/>
      <c r="B153" s="26" t="str">
        <f>IF(Contents!$B$2=2, $AE$155, $AD$155)</f>
        <v>В Отчете за 2025 год произведен пересчет показателя потребления энергии из ВИЭ за 2023 и 2024 годы пропорционально доле владения Группы в совместных предприятиях. Подробнее см. в Приложении 4, показатель GRI 2-4.</v>
      </c>
      <c r="D153" s="543"/>
      <c r="E153" s="543"/>
      <c r="F153" s="543"/>
      <c r="G153" s="543"/>
      <c r="H153" s="37"/>
      <c r="I153" s="39"/>
      <c r="J153" s="37"/>
      <c r="K153" s="39"/>
      <c r="L153" s="557"/>
      <c r="M153" s="557"/>
      <c r="N153" s="39"/>
      <c r="O153" s="22"/>
      <c r="P153" s="589"/>
      <c r="Q153" s="22"/>
      <c r="R153" s="589"/>
      <c r="S153" s="589"/>
      <c r="T153" s="589"/>
      <c r="U153" s="589"/>
      <c r="V153" s="589"/>
      <c r="W153" s="589"/>
      <c r="X153" s="589"/>
      <c r="Y153" s="589"/>
      <c r="Z153" s="785"/>
      <c r="AA153" s="785"/>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c r="HM153" s="14"/>
      <c r="HN153" s="14"/>
      <c r="HO153" s="14"/>
      <c r="HP153" s="14"/>
      <c r="HQ153" s="14"/>
      <c r="HR153" s="14"/>
      <c r="HS153" s="14"/>
      <c r="HT153" s="14"/>
      <c r="HU153" s="14"/>
      <c r="HV153" s="14"/>
      <c r="HW153" s="14"/>
      <c r="HX153" s="14"/>
      <c r="HY153" s="14"/>
      <c r="HZ153" s="14"/>
      <c r="IA153" s="14"/>
      <c r="IB153" s="14"/>
      <c r="IC153" s="14"/>
      <c r="ID153" s="14"/>
      <c r="IE153" s="14"/>
      <c r="IF153" s="14"/>
      <c r="IG153" s="14"/>
      <c r="IH153" s="14"/>
      <c r="II153" s="14"/>
      <c r="IJ153" s="14"/>
      <c r="IK153" s="14"/>
      <c r="IL153" s="14"/>
      <c r="IM153" s="14"/>
      <c r="IN153" s="14"/>
      <c r="IO153" s="14"/>
      <c r="IP153" s="14"/>
    </row>
    <row r="154" spans="1:250" s="1" customFormat="1">
      <c r="A154" s="851"/>
      <c r="B154" s="26" t="str">
        <f>IF(Contents!$B$2=2,"Investments include external social expenses, expenses for environmental protection and environmental stewardship, and investments in human resources and R&amp;D.","В общем объеме инвестиций учтены внешние социальные расходы, расходы на охрану окружающей среды и рациональное природопользование, инвестиции в персонал и НИОКР.")</f>
        <v>В общем объеме инвестиций учтены внешние социальные расходы, расходы на охрану окружающей среды и рациональное природопользование, инвестиции в персонал и НИОКР.</v>
      </c>
      <c r="D154" s="543"/>
      <c r="E154" s="543"/>
      <c r="F154" s="543"/>
      <c r="G154" s="543"/>
      <c r="H154" s="37"/>
      <c r="I154" s="39"/>
      <c r="J154" s="37"/>
      <c r="K154" s="39"/>
      <c r="L154" s="557"/>
      <c r="M154" s="557"/>
      <c r="N154" s="39"/>
      <c r="O154" s="22"/>
      <c r="P154" s="589"/>
      <c r="Q154" s="22"/>
      <c r="R154" s="589"/>
      <c r="S154" s="589"/>
      <c r="T154" s="589"/>
      <c r="U154" s="589"/>
      <c r="V154" s="589"/>
      <c r="W154" s="589"/>
      <c r="X154" s="589"/>
      <c r="Y154" s="589"/>
      <c r="Z154" s="785"/>
      <c r="AA154" s="785"/>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c r="HM154" s="14"/>
      <c r="HN154" s="14"/>
      <c r="HO154" s="14"/>
      <c r="HP154" s="14"/>
      <c r="HQ154" s="14"/>
      <c r="HR154" s="14"/>
      <c r="HS154" s="14"/>
      <c r="HT154" s="14"/>
      <c r="HU154" s="14"/>
      <c r="HV154" s="14"/>
      <c r="HW154" s="14"/>
      <c r="HX154" s="14"/>
      <c r="HY154" s="14"/>
      <c r="HZ154" s="14"/>
      <c r="IA154" s="14"/>
      <c r="IB154" s="14"/>
      <c r="IC154" s="14"/>
      <c r="ID154" s="14"/>
      <c r="IE154" s="14"/>
      <c r="IF154" s="14"/>
      <c r="IG154" s="14"/>
      <c r="IH154" s="14"/>
      <c r="II154" s="14"/>
      <c r="IJ154" s="14"/>
      <c r="IK154" s="14"/>
      <c r="IL154" s="14"/>
      <c r="IM154" s="14"/>
      <c r="IN154" s="14"/>
      <c r="IO154" s="14"/>
      <c r="IP154" s="14"/>
    </row>
    <row r="155" spans="1:250" s="1" customFormat="1" ht="18.75" customHeight="1">
      <c r="A155" s="847"/>
      <c r="B155" s="26"/>
      <c r="F155" s="66"/>
      <c r="G155" s="543"/>
      <c r="H155" s="543"/>
      <c r="I155" s="543"/>
      <c r="J155" s="543"/>
      <c r="K155" s="543"/>
      <c r="L155" s="543"/>
      <c r="M155" s="543"/>
      <c r="N155" s="543"/>
      <c r="O155" s="22"/>
      <c r="P155" s="589"/>
      <c r="Q155" s="22"/>
      <c r="R155" s="589"/>
      <c r="S155" s="589"/>
      <c r="T155" s="589"/>
      <c r="U155" s="589"/>
      <c r="V155" s="589"/>
      <c r="W155" s="589"/>
      <c r="X155" s="589"/>
      <c r="Y155" s="589"/>
      <c r="Z155" s="114" t="s">
        <v>78</v>
      </c>
      <c r="AA155" s="114" t="s">
        <v>79</v>
      </c>
      <c r="AB155" s="114" t="s">
        <v>80</v>
      </c>
      <c r="AC155" s="114" t="s">
        <v>81</v>
      </c>
      <c r="AD155" s="117" t="s">
        <v>224</v>
      </c>
      <c r="AE155" s="117" t="s">
        <v>228</v>
      </c>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c r="II155" s="14"/>
      <c r="IJ155" s="14"/>
      <c r="IK155" s="14"/>
      <c r="IL155" s="14"/>
      <c r="IM155" s="14"/>
      <c r="IN155" s="14"/>
      <c r="IO155" s="14"/>
      <c r="IP155" s="14"/>
    </row>
    <row r="156" spans="1:250">
      <c r="B156" s="238" t="str">
        <f>IF(Contents!$B$2=2,"Production and reserves","Добыча и запасы")</f>
        <v>Добыча и запасы</v>
      </c>
      <c r="C156" s="161"/>
      <c r="D156" s="559"/>
      <c r="E156" s="559"/>
      <c r="F156" s="559"/>
      <c r="G156" s="559"/>
      <c r="H156" s="559"/>
      <c r="I156" s="559"/>
      <c r="J156" s="559"/>
      <c r="K156" s="559"/>
      <c r="L156" s="559"/>
      <c r="M156" s="559"/>
      <c r="N156" s="559"/>
      <c r="O156" s="22"/>
      <c r="Q156" s="22"/>
    </row>
    <row r="157" spans="1:250" ht="39" customHeight="1">
      <c r="B157" s="216" t="str">
        <f>IF(Contents!$B$2=2,"Hydrocarbons production ","Добыча углеводородов")</f>
        <v>Добыча углеводородов</v>
      </c>
      <c r="C157" s="175" t="str">
        <f>IF(Contents!$B$2=2,"mln boe","млн бнэ")</f>
        <v>млн бнэ</v>
      </c>
      <c r="D157" s="239" t="s">
        <v>185</v>
      </c>
      <c r="E157" s="239" t="s">
        <v>185</v>
      </c>
      <c r="F157" s="560">
        <v>513.29999999999995</v>
      </c>
      <c r="G157" s="560">
        <v>549.1</v>
      </c>
      <c r="H157" s="560">
        <v>589.9</v>
      </c>
      <c r="I157" s="560">
        <v>608.20000000000005</v>
      </c>
      <c r="J157" s="560">
        <v>626.29999999999995</v>
      </c>
      <c r="K157" s="560">
        <v>638.70000000000005</v>
      </c>
      <c r="L157" s="560">
        <v>645</v>
      </c>
      <c r="M157" s="560">
        <v>666.7</v>
      </c>
      <c r="N157" s="560">
        <v>673</v>
      </c>
      <c r="O157" s="873"/>
      <c r="P157" s="558"/>
      <c r="Q157" s="29"/>
      <c r="W157" s="558">
        <v>2</v>
      </c>
    </row>
    <row r="158" spans="1:250">
      <c r="B158" s="23" t="str">
        <f>IF(Contents!$B$2=2,"by type","по видам")</f>
        <v>по видам</v>
      </c>
      <c r="C158" s="220"/>
      <c r="D158" s="554"/>
      <c r="E158" s="554"/>
      <c r="F158" s="554"/>
      <c r="G158" s="554"/>
      <c r="H158" s="554"/>
      <c r="I158" s="554"/>
      <c r="J158" s="554"/>
      <c r="K158" s="554"/>
      <c r="L158" s="554"/>
      <c r="M158" s="554"/>
      <c r="N158" s="554"/>
      <c r="O158" s="29"/>
      <c r="P158" s="558"/>
      <c r="Q158" s="29"/>
      <c r="R158" s="590"/>
      <c r="S158" s="590"/>
      <c r="T158" s="590"/>
      <c r="U158" s="590"/>
      <c r="W158" s="558"/>
      <c r="Y158" s="595"/>
    </row>
    <row r="159" spans="1:250" s="1" customFormat="1" ht="35.450000000000003" customHeight="1">
      <c r="A159" s="851"/>
      <c r="B159" s="232" t="str">
        <f>IF(Contents!$B$2=2,"Natural gas","Природный газ")</f>
        <v>Природный газ</v>
      </c>
      <c r="C159" s="186" t="str">
        <f>IF(Contents!$B$2=2,"bln cubic meters","млрд куб. м")</f>
        <v>млрд куб. м</v>
      </c>
      <c r="D159" s="168" t="s">
        <v>185</v>
      </c>
      <c r="E159" s="168" t="s">
        <v>185</v>
      </c>
      <c r="F159" s="168" t="s">
        <v>185</v>
      </c>
      <c r="G159" s="201">
        <v>68.8</v>
      </c>
      <c r="H159" s="201">
        <v>74.7</v>
      </c>
      <c r="I159" s="201">
        <v>77.400000000000006</v>
      </c>
      <c r="J159" s="240">
        <v>79.900000000000006</v>
      </c>
      <c r="K159" s="240">
        <v>82.1</v>
      </c>
      <c r="L159" s="240">
        <v>82.4</v>
      </c>
      <c r="M159" s="240">
        <v>84.1</v>
      </c>
      <c r="N159" s="241">
        <v>84.6</v>
      </c>
      <c r="O159" s="872"/>
      <c r="P159" s="558"/>
      <c r="Q159" s="29"/>
      <c r="R159" s="589"/>
      <c r="S159" s="589"/>
      <c r="T159" s="589"/>
      <c r="U159" s="589"/>
      <c r="V159" s="589"/>
      <c r="W159" s="558">
        <v>2</v>
      </c>
      <c r="X159" s="589"/>
      <c r="Y159" s="589"/>
      <c r="Z159" s="785"/>
      <c r="AA159" s="785"/>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c r="HM159" s="14"/>
      <c r="HN159" s="14"/>
      <c r="HO159" s="14"/>
      <c r="HP159" s="14"/>
      <c r="HQ159" s="14"/>
      <c r="HR159" s="14"/>
      <c r="HS159" s="14"/>
      <c r="HT159" s="14"/>
      <c r="HU159" s="14"/>
      <c r="HV159" s="14"/>
      <c r="HW159" s="14"/>
      <c r="HX159" s="14"/>
      <c r="HY159" s="14"/>
      <c r="HZ159" s="14"/>
      <c r="IA159" s="14"/>
      <c r="IB159" s="14"/>
      <c r="IC159" s="14"/>
      <c r="ID159" s="14"/>
      <c r="IE159" s="14"/>
      <c r="IF159" s="14"/>
      <c r="IG159" s="14"/>
      <c r="IH159" s="14"/>
      <c r="II159" s="14"/>
      <c r="IJ159" s="14"/>
      <c r="IK159" s="14"/>
      <c r="IL159" s="14"/>
      <c r="IM159" s="14"/>
      <c r="IN159" s="14"/>
      <c r="IO159" s="14"/>
      <c r="IP159" s="14"/>
    </row>
    <row r="160" spans="1:250" s="1" customFormat="1" ht="41.1" customHeight="1">
      <c r="A160" s="851"/>
      <c r="B160" s="232" t="str">
        <f>IF(Contents!$B$2=2,"Liquids productions","Жидкие углеводороды")</f>
        <v>Жидкие углеводороды</v>
      </c>
      <c r="C160" s="186" t="str">
        <f>IF(Contents!$B$2=2,"mln tons","млн т")</f>
        <v>млн т</v>
      </c>
      <c r="D160" s="168" t="s">
        <v>185</v>
      </c>
      <c r="E160" s="168" t="s">
        <v>185</v>
      </c>
      <c r="F160" s="168" t="s">
        <v>185</v>
      </c>
      <c r="G160" s="201">
        <v>11.8</v>
      </c>
      <c r="H160" s="201">
        <v>12.1</v>
      </c>
      <c r="I160" s="201">
        <v>12.2</v>
      </c>
      <c r="J160" s="201">
        <v>12.3</v>
      </c>
      <c r="K160" s="201">
        <v>11.899999999999999</v>
      </c>
      <c r="L160" s="201">
        <v>12.399999999999999</v>
      </c>
      <c r="M160" s="201">
        <v>13.8</v>
      </c>
      <c r="N160" s="242">
        <v>14.1</v>
      </c>
      <c r="O160" s="872"/>
      <c r="P160" s="558"/>
      <c r="Q160" s="29"/>
      <c r="R160" s="589"/>
      <c r="S160" s="589"/>
      <c r="T160" s="589"/>
      <c r="U160" s="589"/>
      <c r="V160" s="589"/>
      <c r="W160" s="558">
        <v>2</v>
      </c>
      <c r="X160" s="589"/>
      <c r="Y160" s="589"/>
      <c r="Z160" s="785"/>
      <c r="AA160" s="785"/>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c r="HM160" s="14"/>
      <c r="HN160" s="14"/>
      <c r="HO160" s="14"/>
      <c r="HP160" s="14"/>
      <c r="HQ160" s="14"/>
      <c r="HR160" s="14"/>
      <c r="HS160" s="14"/>
      <c r="HT160" s="14"/>
      <c r="HU160" s="14"/>
      <c r="HV160" s="14"/>
      <c r="HW160" s="14"/>
      <c r="HX160" s="14"/>
      <c r="HY160" s="14"/>
      <c r="HZ160" s="14"/>
      <c r="IA160" s="14"/>
      <c r="IB160" s="14"/>
      <c r="IC160" s="14"/>
      <c r="ID160" s="14"/>
      <c r="IE160" s="14"/>
      <c r="IF160" s="14"/>
      <c r="IG160" s="14"/>
      <c r="IH160" s="14"/>
      <c r="II160" s="14"/>
      <c r="IJ160" s="14"/>
      <c r="IK160" s="14"/>
      <c r="IL160" s="14"/>
      <c r="IM160" s="14"/>
      <c r="IN160" s="14"/>
      <c r="IO160" s="14"/>
      <c r="IP160" s="14"/>
    </row>
    <row r="161" spans="1:250" s="1" customFormat="1">
      <c r="A161" s="851"/>
      <c r="B161" s="243" t="str">
        <f>IF(Contents!$B$2=2,"Crude oil","Нефть")</f>
        <v>Нефть</v>
      </c>
      <c r="C161" s="186" t="str">
        <f>IF(Contents!$B$2=2,"mln tons","млн т")</f>
        <v>млн т</v>
      </c>
      <c r="D161" s="168" t="s">
        <v>185</v>
      </c>
      <c r="E161" s="168" t="s">
        <v>185</v>
      </c>
      <c r="F161" s="168" t="s">
        <v>185</v>
      </c>
      <c r="G161" s="244">
        <v>4.8</v>
      </c>
      <c r="H161" s="244">
        <v>5.0999999999999996</v>
      </c>
      <c r="I161" s="244">
        <v>4.7</v>
      </c>
      <c r="J161" s="245">
        <v>4.2</v>
      </c>
      <c r="K161" s="245">
        <v>3.3</v>
      </c>
      <c r="L161" s="245">
        <v>2.8</v>
      </c>
      <c r="M161" s="245">
        <v>4.4000000000000004</v>
      </c>
      <c r="N161" s="242">
        <v>4.4000000000000004</v>
      </c>
      <c r="O161" s="817"/>
      <c r="P161" s="558"/>
      <c r="Q161" s="29"/>
      <c r="R161" s="589"/>
      <c r="S161" s="589"/>
      <c r="T161" s="589"/>
      <c r="U161" s="589"/>
      <c r="V161" s="589"/>
      <c r="W161" s="558">
        <v>2</v>
      </c>
      <c r="X161" s="589"/>
      <c r="Y161" s="589"/>
      <c r="Z161" s="785"/>
      <c r="AA161" s="785"/>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c r="HM161" s="14"/>
      <c r="HN161" s="14"/>
      <c r="HO161" s="14"/>
      <c r="HP161" s="14"/>
      <c r="HQ161" s="14"/>
      <c r="HR161" s="14"/>
      <c r="HS161" s="14"/>
      <c r="HT161" s="14"/>
      <c r="HU161" s="14"/>
      <c r="HV161" s="14"/>
      <c r="HW161" s="14"/>
      <c r="HX161" s="14"/>
      <c r="HY161" s="14"/>
      <c r="HZ161" s="14"/>
      <c r="IA161" s="14"/>
      <c r="IB161" s="14"/>
      <c r="IC161" s="14"/>
      <c r="ID161" s="14"/>
      <c r="IE161" s="14"/>
      <c r="IF161" s="14"/>
      <c r="IG161" s="14"/>
      <c r="IH161" s="14"/>
      <c r="II161" s="14"/>
      <c r="IJ161" s="14"/>
      <c r="IK161" s="14"/>
      <c r="IL161" s="14"/>
      <c r="IM161" s="14"/>
      <c r="IN161" s="14"/>
      <c r="IO161" s="14"/>
      <c r="IP161" s="14"/>
    </row>
    <row r="162" spans="1:250" s="1" customFormat="1">
      <c r="A162" s="851"/>
      <c r="B162" s="243" t="str">
        <f>IF(Contents!$B$2=2,"Gas condensate","Газовый конденсат")</f>
        <v>Газовый конденсат</v>
      </c>
      <c r="C162" s="186" t="str">
        <f>IF(Contents!$B$2=2,"mln tons","млн т")</f>
        <v>млн т</v>
      </c>
      <c r="D162" s="168" t="s">
        <v>185</v>
      </c>
      <c r="E162" s="168" t="s">
        <v>185</v>
      </c>
      <c r="F162" s="168" t="s">
        <v>185</v>
      </c>
      <c r="G162" s="244">
        <v>7</v>
      </c>
      <c r="H162" s="244">
        <v>7</v>
      </c>
      <c r="I162" s="244">
        <v>7.5</v>
      </c>
      <c r="J162" s="245">
        <v>8.1</v>
      </c>
      <c r="K162" s="245">
        <v>8.6</v>
      </c>
      <c r="L162" s="245">
        <v>9.6</v>
      </c>
      <c r="M162" s="245">
        <v>9.4</v>
      </c>
      <c r="N162" s="242">
        <v>9.6999999999999993</v>
      </c>
      <c r="O162" s="817"/>
      <c r="P162" s="558"/>
      <c r="Q162" s="29"/>
      <c r="R162" s="589"/>
      <c r="S162" s="589"/>
      <c r="T162" s="589"/>
      <c r="U162" s="589"/>
      <c r="V162" s="589"/>
      <c r="W162" s="558">
        <v>2</v>
      </c>
      <c r="X162" s="589"/>
      <c r="Y162" s="589"/>
      <c r="Z162" s="785"/>
      <c r="AA162" s="785"/>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c r="HM162" s="14"/>
      <c r="HN162" s="14"/>
      <c r="HO162" s="14"/>
      <c r="HP162" s="14"/>
      <c r="HQ162" s="14"/>
      <c r="HR162" s="14"/>
      <c r="HS162" s="14"/>
      <c r="HT162" s="14"/>
      <c r="HU162" s="14"/>
      <c r="HV162" s="14"/>
      <c r="HW162" s="14"/>
      <c r="HX162" s="14"/>
      <c r="HY162" s="14"/>
      <c r="HZ162" s="14"/>
      <c r="IA162" s="14"/>
      <c r="IB162" s="14"/>
      <c r="IC162" s="14"/>
      <c r="ID162" s="14"/>
      <c r="IE162" s="14"/>
      <c r="IF162" s="14"/>
      <c r="IG162" s="14"/>
      <c r="IH162" s="14"/>
      <c r="II162" s="14"/>
      <c r="IJ162" s="14"/>
      <c r="IK162" s="14"/>
      <c r="IL162" s="14"/>
      <c r="IM162" s="14"/>
      <c r="IN162" s="14"/>
      <c r="IO162" s="14"/>
      <c r="IP162" s="14"/>
    </row>
    <row r="163" spans="1:250" s="1" customFormat="1">
      <c r="A163" s="851"/>
      <c r="B163" s="232" t="str">
        <f>IF(Contents!$B$2=2,"Oil","Нефть")</f>
        <v>Нефть</v>
      </c>
      <c r="C163" s="186" t="str">
        <f>IF(Contents!$B$2=2,"th. tons / day","тыс. т / сут.")</f>
        <v>тыс. т / сут.</v>
      </c>
      <c r="D163" s="168" t="s">
        <v>185</v>
      </c>
      <c r="E163" s="168" t="s">
        <v>185</v>
      </c>
      <c r="F163" s="168" t="s">
        <v>185</v>
      </c>
      <c r="G163" s="201">
        <v>13.2</v>
      </c>
      <c r="H163" s="201">
        <v>14</v>
      </c>
      <c r="I163" s="201">
        <v>12.9</v>
      </c>
      <c r="J163" s="201">
        <v>11.5</v>
      </c>
      <c r="K163" s="201">
        <v>9</v>
      </c>
      <c r="L163" s="201">
        <v>7.7</v>
      </c>
      <c r="M163" s="201">
        <v>12</v>
      </c>
      <c r="N163" s="242">
        <v>12</v>
      </c>
      <c r="O163" s="817"/>
      <c r="P163" s="558" t="str">
        <f>IF(Contents!$B$2=2,"Yes","Да")</f>
        <v>Да</v>
      </c>
      <c r="Q163" s="29"/>
      <c r="R163" s="589"/>
      <c r="S163" s="465" t="s">
        <v>82</v>
      </c>
      <c r="T163" s="589"/>
      <c r="U163" s="589"/>
      <c r="V163" s="589"/>
      <c r="W163" s="558">
        <v>3</v>
      </c>
      <c r="X163" s="589"/>
      <c r="Y163" s="589"/>
      <c r="Z163" s="785"/>
      <c r="AA163" s="785"/>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row>
    <row r="164" spans="1:250" s="1" customFormat="1">
      <c r="A164" s="851"/>
      <c r="B164" s="232" t="str">
        <f>IF(Contents!$B$2=2,"Natural gas","Природный газ")</f>
        <v>Природный газ</v>
      </c>
      <c r="C164" s="186" t="str">
        <f>IF(Contents!$B$2=2,"mln cubic meters / day","млн куб. м / сут.")</f>
        <v>млн куб. м / сут.</v>
      </c>
      <c r="D164" s="168" t="s">
        <v>185</v>
      </c>
      <c r="E164" s="168" t="s">
        <v>185</v>
      </c>
      <c r="F164" s="168" t="s">
        <v>185</v>
      </c>
      <c r="G164" s="201">
        <v>188.5</v>
      </c>
      <c r="H164" s="201">
        <v>204.7</v>
      </c>
      <c r="I164" s="201">
        <v>212.1</v>
      </c>
      <c r="J164" s="201">
        <v>218.9</v>
      </c>
      <c r="K164" s="201">
        <v>224.9</v>
      </c>
      <c r="L164" s="201">
        <v>225.8</v>
      </c>
      <c r="M164" s="201">
        <v>229.8</v>
      </c>
      <c r="N164" s="242">
        <v>231.1</v>
      </c>
      <c r="O164" s="817"/>
      <c r="P164" s="558" t="str">
        <f>IF(Contents!$B$2=2,"Yes","Да")</f>
        <v>Да</v>
      </c>
      <c r="Q164" s="29"/>
      <c r="R164" s="589"/>
      <c r="S164" s="465" t="s">
        <v>82</v>
      </c>
      <c r="T164" s="589"/>
      <c r="U164" s="589"/>
      <c r="V164" s="589"/>
      <c r="W164" s="558">
        <v>3</v>
      </c>
      <c r="X164" s="589"/>
      <c r="Y164" s="589"/>
      <c r="Z164" s="785"/>
      <c r="AA164" s="785"/>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row>
    <row r="165" spans="1:250" s="1" customFormat="1">
      <c r="A165" s="851"/>
      <c r="B165" s="232" t="str">
        <f>IF(Contents!$B$2=2,"Synthetic oil","Синтетическая нефть")</f>
        <v>Синтетическая нефть</v>
      </c>
      <c r="C165" s="186" t="str">
        <f>IF(Contents!$B$2=2,"mln cubic meters / day","млн куб. м / сут.")</f>
        <v>млн куб. м / сут.</v>
      </c>
      <c r="D165" s="201">
        <v>0</v>
      </c>
      <c r="E165" s="201">
        <v>0</v>
      </c>
      <c r="F165" s="201">
        <v>0</v>
      </c>
      <c r="G165" s="201">
        <v>0</v>
      </c>
      <c r="H165" s="201">
        <v>0</v>
      </c>
      <c r="I165" s="201">
        <v>0</v>
      </c>
      <c r="J165" s="201">
        <v>0</v>
      </c>
      <c r="K165" s="201">
        <v>0</v>
      </c>
      <c r="L165" s="240">
        <v>0</v>
      </c>
      <c r="M165" s="240">
        <v>0</v>
      </c>
      <c r="N165" s="242">
        <v>0</v>
      </c>
      <c r="O165" s="817"/>
      <c r="P165" s="558" t="str">
        <f>IF(Contents!$B$2=2,"Yes","Да")</f>
        <v>Да</v>
      </c>
      <c r="Q165" s="29"/>
      <c r="R165" s="589"/>
      <c r="S165" s="465" t="s">
        <v>82</v>
      </c>
      <c r="T165" s="589"/>
      <c r="U165" s="589"/>
      <c r="V165" s="589"/>
      <c r="W165" s="558">
        <v>3</v>
      </c>
      <c r="X165" s="589"/>
      <c r="Y165" s="589"/>
      <c r="Z165" s="785"/>
      <c r="AA165" s="785"/>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c r="HM165" s="14"/>
      <c r="HN165" s="14"/>
      <c r="HO165" s="14"/>
      <c r="HP165" s="14"/>
      <c r="HQ165" s="14"/>
      <c r="HR165" s="14"/>
      <c r="HS165" s="14"/>
      <c r="HT165" s="14"/>
      <c r="HU165" s="14"/>
      <c r="HV165" s="14"/>
      <c r="HW165" s="14"/>
      <c r="HX165" s="14"/>
      <c r="HY165" s="14"/>
      <c r="HZ165" s="14"/>
      <c r="IA165" s="14"/>
      <c r="IB165" s="14"/>
      <c r="IC165" s="14"/>
      <c r="ID165" s="14"/>
      <c r="IE165" s="14"/>
      <c r="IF165" s="14"/>
      <c r="IG165" s="14"/>
      <c r="IH165" s="14"/>
      <c r="II165" s="14"/>
      <c r="IJ165" s="14"/>
      <c r="IK165" s="14"/>
      <c r="IL165" s="14"/>
      <c r="IM165" s="14"/>
      <c r="IN165" s="14"/>
      <c r="IO165" s="14"/>
      <c r="IP165" s="14"/>
    </row>
    <row r="166" spans="1:250" s="1" customFormat="1">
      <c r="A166" s="851"/>
      <c r="B166" s="232" t="str">
        <f>IF(Contents!$B$2=2,"Synthetic gas","Синтетический газ")</f>
        <v>Синтетический газ</v>
      </c>
      <c r="C166" s="186" t="str">
        <f>IF(Contents!$B$2=2,"mln cubic meters / day","млн куб. м / сут.")</f>
        <v>млн куб. м / сут.</v>
      </c>
      <c r="D166" s="201">
        <v>0</v>
      </c>
      <c r="E166" s="201">
        <v>0</v>
      </c>
      <c r="F166" s="201">
        <v>0</v>
      </c>
      <c r="G166" s="201">
        <v>0</v>
      </c>
      <c r="H166" s="201">
        <v>0</v>
      </c>
      <c r="I166" s="201">
        <v>0</v>
      </c>
      <c r="J166" s="201">
        <v>0</v>
      </c>
      <c r="K166" s="201">
        <v>0</v>
      </c>
      <c r="L166" s="240">
        <v>0</v>
      </c>
      <c r="M166" s="240">
        <v>0</v>
      </c>
      <c r="N166" s="242">
        <v>0</v>
      </c>
      <c r="O166" s="817"/>
      <c r="P166" s="558" t="str">
        <f>IF(Contents!$B$2=2,"Yes","Да")</f>
        <v>Да</v>
      </c>
      <c r="Q166" s="29"/>
      <c r="R166" s="589"/>
      <c r="S166" s="465" t="s">
        <v>82</v>
      </c>
      <c r="T166" s="589"/>
      <c r="U166" s="589"/>
      <c r="V166" s="589"/>
      <c r="W166" s="558">
        <v>3</v>
      </c>
      <c r="X166" s="589"/>
      <c r="Y166" s="589"/>
      <c r="Z166" s="785"/>
      <c r="AA166" s="785"/>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c r="IJ166" s="14"/>
      <c r="IK166" s="14"/>
      <c r="IL166" s="14"/>
      <c r="IM166" s="14"/>
      <c r="IN166" s="14"/>
      <c r="IO166" s="14"/>
      <c r="IP166" s="14"/>
    </row>
    <row r="167" spans="1:250" s="1" customFormat="1">
      <c r="A167" s="851"/>
      <c r="B167" s="246" t="str">
        <f>IF(Contents!$B$2=2,"Share of natural gas production","Доля добычи природного газа")</f>
        <v>Доля добычи природного газа</v>
      </c>
      <c r="C167" s="189" t="s">
        <v>0</v>
      </c>
      <c r="D167" s="168" t="s">
        <v>185</v>
      </c>
      <c r="E167" s="168" t="s">
        <v>185</v>
      </c>
      <c r="F167" s="201">
        <v>80.8</v>
      </c>
      <c r="G167" s="201">
        <v>82</v>
      </c>
      <c r="H167" s="201">
        <v>82.8</v>
      </c>
      <c r="I167" s="201">
        <v>83.2</v>
      </c>
      <c r="J167" s="240">
        <v>83.4</v>
      </c>
      <c r="K167" s="240">
        <v>84.1</v>
      </c>
      <c r="L167" s="240">
        <v>83.5</v>
      </c>
      <c r="M167" s="240">
        <v>82.5</v>
      </c>
      <c r="N167" s="242">
        <v>82.2</v>
      </c>
      <c r="O167" s="817"/>
      <c r="P167" s="558"/>
      <c r="Q167" s="29"/>
      <c r="R167" s="589"/>
      <c r="S167" s="589"/>
      <c r="T167" s="589"/>
      <c r="U167" s="589"/>
      <c r="V167" s="589"/>
      <c r="W167" s="558">
        <v>2</v>
      </c>
      <c r="X167" s="589"/>
      <c r="Y167" s="589"/>
      <c r="Z167" s="785"/>
      <c r="AA167" s="785"/>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c r="IJ167" s="14"/>
      <c r="IK167" s="14"/>
      <c r="IL167" s="14"/>
      <c r="IM167" s="14"/>
      <c r="IN167" s="14"/>
      <c r="IO167" s="14"/>
      <c r="IP167" s="14"/>
    </row>
    <row r="168" spans="1:250" s="1" customFormat="1" ht="24.6" customHeight="1">
      <c r="A168" s="851"/>
      <c r="B168" s="246" t="str">
        <f>IF(Contents!$B$2=2,"Share of liquids production","Доля добычи жидких углеводородов")</f>
        <v>Доля добычи жидких углеводородов</v>
      </c>
      <c r="C168" s="189" t="s">
        <v>0</v>
      </c>
      <c r="D168" s="168" t="s">
        <v>185</v>
      </c>
      <c r="E168" s="168" t="s">
        <v>185</v>
      </c>
      <c r="F168" s="240">
        <v>19.200000000000003</v>
      </c>
      <c r="G168" s="240">
        <v>18</v>
      </c>
      <c r="H168" s="240">
        <v>17.200000000000003</v>
      </c>
      <c r="I168" s="240">
        <v>16.799999999999997</v>
      </c>
      <c r="J168" s="240">
        <v>16.599999999999994</v>
      </c>
      <c r="K168" s="240">
        <v>15.887731330981767</v>
      </c>
      <c r="L168" s="240">
        <v>16.5</v>
      </c>
      <c r="M168" s="240">
        <v>17.5</v>
      </c>
      <c r="N168" s="242">
        <v>17.8</v>
      </c>
      <c r="O168" s="872"/>
      <c r="P168" s="558"/>
      <c r="Q168" s="29"/>
      <c r="R168" s="589"/>
      <c r="S168" s="589"/>
      <c r="T168" s="589"/>
      <c r="U168" s="589"/>
      <c r="V168" s="589"/>
      <c r="W168" s="558">
        <v>2</v>
      </c>
      <c r="X168" s="589"/>
      <c r="Y168" s="589"/>
      <c r="Z168" s="785"/>
      <c r="AA168" s="785"/>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c r="HM168" s="14"/>
      <c r="HN168" s="14"/>
      <c r="HO168" s="14"/>
      <c r="HP168" s="14"/>
      <c r="HQ168" s="14"/>
      <c r="HR168" s="14"/>
      <c r="HS168" s="14"/>
      <c r="HT168" s="14"/>
      <c r="HU168" s="14"/>
      <c r="HV168" s="14"/>
      <c r="HW168" s="14"/>
      <c r="HX168" s="14"/>
      <c r="HY168" s="14"/>
      <c r="HZ168" s="14"/>
      <c r="IA168" s="14"/>
      <c r="IB168" s="14"/>
      <c r="IC168" s="14"/>
      <c r="ID168" s="14"/>
      <c r="IE168" s="14"/>
      <c r="IF168" s="14"/>
      <c r="IG168" s="14"/>
      <c r="IH168" s="14"/>
      <c r="II168" s="14"/>
      <c r="IJ168" s="14"/>
      <c r="IK168" s="14"/>
      <c r="IL168" s="14"/>
      <c r="IM168" s="14"/>
      <c r="IN168" s="14"/>
      <c r="IO168" s="14"/>
      <c r="IP168" s="14"/>
    </row>
    <row r="169" spans="1:250" s="1" customFormat="1">
      <c r="A169" s="851"/>
      <c r="B169" s="38"/>
      <c r="D169" s="543"/>
      <c r="E169" s="543"/>
      <c r="F169" s="543"/>
      <c r="G169" s="543"/>
      <c r="H169" s="37"/>
      <c r="I169" s="558"/>
      <c r="J169" s="37"/>
      <c r="K169" s="558"/>
      <c r="L169" s="557"/>
      <c r="M169" s="557"/>
      <c r="N169" s="558"/>
      <c r="O169" s="22"/>
      <c r="P169" s="589"/>
      <c r="Q169" s="22"/>
      <c r="R169" s="589"/>
      <c r="S169" s="589"/>
      <c r="T169" s="589"/>
      <c r="U169" s="589"/>
      <c r="V169" s="589"/>
      <c r="W169" s="558"/>
      <c r="X169" s="589"/>
      <c r="Y169" s="589"/>
      <c r="Z169" s="785"/>
      <c r="AA169" s="785"/>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c r="HM169" s="14"/>
      <c r="HN169" s="14"/>
      <c r="HO169" s="14"/>
      <c r="HP169" s="14"/>
      <c r="HQ169" s="14"/>
      <c r="HR169" s="14"/>
      <c r="HS169" s="14"/>
      <c r="HT169" s="14"/>
      <c r="HU169" s="14"/>
      <c r="HV169" s="14"/>
      <c r="HW169" s="14"/>
      <c r="HX169" s="14"/>
      <c r="HY169" s="14"/>
      <c r="HZ169" s="14"/>
      <c r="IA169" s="14"/>
      <c r="IB169" s="14"/>
      <c r="IC169" s="14"/>
      <c r="ID169" s="14"/>
      <c r="IE169" s="14"/>
      <c r="IF169" s="14"/>
      <c r="IG169" s="14"/>
      <c r="IH169" s="14"/>
      <c r="II169" s="14"/>
      <c r="IJ169" s="14"/>
      <c r="IK169" s="14"/>
      <c r="IL169" s="14"/>
      <c r="IM169" s="14"/>
      <c r="IN169" s="14"/>
      <c r="IO169" s="14"/>
      <c r="IP169" s="14"/>
    </row>
    <row r="170" spans="1:250">
      <c r="B170" s="216" t="str">
        <f>IF(Contents!$B$2=2,"Proved hydrocarbon reserves (SEC)","Доказанные запасы углеводородов (SEC)")</f>
        <v>Доказанные запасы углеводородов (SEC)</v>
      </c>
      <c r="C170" s="175" t="str">
        <f>IF(Contents!$B$2=2,"mln boe","млн бнэ")</f>
        <v>млн бнэ</v>
      </c>
      <c r="D170" s="247">
        <v>12817</v>
      </c>
      <c r="E170" s="247">
        <v>12775</v>
      </c>
      <c r="F170" s="247">
        <v>15120</v>
      </c>
      <c r="G170" s="247">
        <v>15789</v>
      </c>
      <c r="H170" s="247">
        <v>16265</v>
      </c>
      <c r="I170" s="247">
        <v>16366</v>
      </c>
      <c r="J170" s="247">
        <v>16409</v>
      </c>
      <c r="K170" s="247">
        <v>17571</v>
      </c>
      <c r="L170" s="247">
        <v>17598</v>
      </c>
      <c r="M170" s="247">
        <v>17506</v>
      </c>
      <c r="N170" s="247">
        <v>16974</v>
      </c>
      <c r="O170" s="871"/>
      <c r="P170" s="558"/>
      <c r="Q170" s="29"/>
      <c r="W170" s="558">
        <v>2</v>
      </c>
    </row>
    <row r="171" spans="1:250">
      <c r="B171" s="23" t="str">
        <f>IF(Contents!$B$2=2,"by type","по видам")</f>
        <v>по видам</v>
      </c>
      <c r="C171" s="248"/>
      <c r="D171" s="554"/>
      <c r="E171" s="554"/>
      <c r="F171" s="554"/>
      <c r="G171" s="554"/>
      <c r="H171" s="554"/>
      <c r="I171" s="554"/>
      <c r="J171" s="554"/>
      <c r="K171" s="554"/>
      <c r="L171" s="554"/>
      <c r="M171" s="554"/>
      <c r="N171" s="554"/>
      <c r="O171" s="781"/>
      <c r="P171" s="558"/>
      <c r="Q171" s="29"/>
      <c r="R171" s="590"/>
      <c r="S171" s="590"/>
      <c r="T171" s="590"/>
      <c r="U171" s="590"/>
      <c r="W171" s="558"/>
      <c r="Y171" s="595"/>
    </row>
    <row r="172" spans="1:250" s="1" customFormat="1">
      <c r="A172" s="851"/>
      <c r="B172" s="232" t="str">
        <f>IF(Contents!$B$2=2,"Natural gas","Природный газ")</f>
        <v>Природный газ</v>
      </c>
      <c r="C172" s="186" t="str">
        <f>IF(Contents!$B$2=2,"bln cubic meters","млрд куб. м")</f>
        <v>млрд куб. м</v>
      </c>
      <c r="D172" s="213">
        <v>1775</v>
      </c>
      <c r="E172" s="213">
        <v>1755</v>
      </c>
      <c r="F172" s="213">
        <v>2098</v>
      </c>
      <c r="G172" s="213">
        <v>2177</v>
      </c>
      <c r="H172" s="213">
        <v>2234</v>
      </c>
      <c r="I172" s="213">
        <v>2244</v>
      </c>
      <c r="J172" s="168">
        <v>2261</v>
      </c>
      <c r="K172" s="168">
        <v>2431</v>
      </c>
      <c r="L172" s="168">
        <v>2432</v>
      </c>
      <c r="M172" s="168">
        <v>2425</v>
      </c>
      <c r="N172" s="199">
        <v>2354</v>
      </c>
      <c r="O172" s="871"/>
      <c r="P172" s="558"/>
      <c r="Q172" s="29"/>
      <c r="R172" s="589"/>
      <c r="S172" s="589"/>
      <c r="T172" s="589"/>
      <c r="U172" s="589"/>
      <c r="V172" s="589"/>
      <c r="W172" s="558">
        <v>2</v>
      </c>
      <c r="X172" s="589"/>
      <c r="Y172" s="589"/>
      <c r="Z172" s="785"/>
      <c r="AA172" s="785"/>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c r="IL172" s="14"/>
      <c r="IM172" s="14"/>
      <c r="IN172" s="14"/>
      <c r="IO172" s="14"/>
      <c r="IP172" s="14"/>
    </row>
    <row r="173" spans="1:250" s="1" customFormat="1">
      <c r="A173" s="851"/>
      <c r="B173" s="232" t="str">
        <f>IF(Contents!$B$2=2,"Liquids productions","Жидкие углеводороды")</f>
        <v>Жидкие углеводороды</v>
      </c>
      <c r="C173" s="186" t="str">
        <f>IF(Contents!$B$2=2,"mln tons","млн т")</f>
        <v>млн т</v>
      </c>
      <c r="D173" s="213">
        <v>143</v>
      </c>
      <c r="E173" s="213">
        <v>152</v>
      </c>
      <c r="F173" s="213">
        <v>164</v>
      </c>
      <c r="G173" s="213">
        <v>181</v>
      </c>
      <c r="H173" s="213">
        <v>193</v>
      </c>
      <c r="I173" s="213">
        <v>197</v>
      </c>
      <c r="J173" s="168">
        <v>189</v>
      </c>
      <c r="K173" s="168">
        <v>194</v>
      </c>
      <c r="L173" s="168">
        <v>197</v>
      </c>
      <c r="M173" s="168">
        <v>190</v>
      </c>
      <c r="N173" s="27">
        <v>182</v>
      </c>
      <c r="O173" s="871"/>
      <c r="P173" s="558"/>
      <c r="Q173" s="29"/>
      <c r="R173" s="589"/>
      <c r="S173" s="589"/>
      <c r="T173" s="589"/>
      <c r="U173" s="589"/>
      <c r="V173" s="589"/>
      <c r="W173" s="558">
        <v>2</v>
      </c>
      <c r="X173" s="589"/>
      <c r="Y173" s="589"/>
      <c r="Z173" s="785"/>
      <c r="AA173" s="785"/>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c r="HM173" s="14"/>
      <c r="HN173" s="14"/>
      <c r="HO173" s="14"/>
      <c r="HP173" s="14"/>
      <c r="HQ173" s="14"/>
      <c r="HR173" s="14"/>
      <c r="HS173" s="14"/>
      <c r="HT173" s="14"/>
      <c r="HU173" s="14"/>
      <c r="HV173" s="14"/>
      <c r="HW173" s="14"/>
      <c r="HX173" s="14"/>
      <c r="HY173" s="14"/>
      <c r="HZ173" s="14"/>
      <c r="IA173" s="14"/>
      <c r="IB173" s="14"/>
      <c r="IC173" s="14"/>
      <c r="ID173" s="14"/>
      <c r="IE173" s="14"/>
      <c r="IF173" s="14"/>
      <c r="IG173" s="14"/>
      <c r="IH173" s="14"/>
      <c r="II173" s="14"/>
      <c r="IJ173" s="14"/>
      <c r="IK173" s="14"/>
      <c r="IL173" s="14"/>
      <c r="IM173" s="14"/>
      <c r="IN173" s="14"/>
      <c r="IO173" s="14"/>
      <c r="IP173" s="14"/>
    </row>
    <row r="174" spans="1:250" s="1" customFormat="1">
      <c r="A174" s="851"/>
      <c r="B174" s="243" t="str">
        <f>IF(Contents!$B$2=2,"Crude oil","Нефть")</f>
        <v>Нефть</v>
      </c>
      <c r="C174" s="186" t="str">
        <f>IF(Contents!$B$2=2,"mln tons","млн т")</f>
        <v>млн т</v>
      </c>
      <c r="D174" s="168" t="s">
        <v>185</v>
      </c>
      <c r="E174" s="168" t="s">
        <v>185</v>
      </c>
      <c r="F174" s="168" t="s">
        <v>185</v>
      </c>
      <c r="G174" s="168" t="s">
        <v>185</v>
      </c>
      <c r="H174" s="168" t="s">
        <v>185</v>
      </c>
      <c r="I174" s="168" t="s">
        <v>185</v>
      </c>
      <c r="J174" s="168">
        <v>37</v>
      </c>
      <c r="K174" s="168">
        <v>35</v>
      </c>
      <c r="L174" s="168">
        <v>37</v>
      </c>
      <c r="M174" s="168">
        <v>34</v>
      </c>
      <c r="N174" s="27">
        <v>30</v>
      </c>
      <c r="O174" s="884"/>
      <c r="P174" s="558"/>
      <c r="Q174" s="29"/>
      <c r="R174" s="589"/>
      <c r="S174" s="589"/>
      <c r="T174" s="589"/>
      <c r="U174" s="589"/>
      <c r="V174" s="589"/>
      <c r="W174" s="558">
        <v>2</v>
      </c>
      <c r="X174" s="589"/>
      <c r="Y174" s="589"/>
      <c r="Z174" s="785"/>
      <c r="AA174" s="785"/>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c r="IJ174" s="14"/>
      <c r="IK174" s="14"/>
      <c r="IL174" s="14"/>
      <c r="IM174" s="14"/>
      <c r="IN174" s="14"/>
      <c r="IO174" s="14"/>
      <c r="IP174" s="14"/>
    </row>
    <row r="175" spans="1:250" s="1" customFormat="1" ht="21.6" customHeight="1">
      <c r="A175" s="851"/>
      <c r="B175" s="243" t="str">
        <f>IF(Contents!$B$2=2,"Gas condensate","Газовый конденсат")</f>
        <v>Газовый конденсат</v>
      </c>
      <c r="C175" s="186" t="str">
        <f>IF(Contents!$B$2=2,"mln tons","млн т")</f>
        <v>млн т</v>
      </c>
      <c r="D175" s="168" t="s">
        <v>185</v>
      </c>
      <c r="E175" s="168" t="s">
        <v>185</v>
      </c>
      <c r="F175" s="168" t="s">
        <v>185</v>
      </c>
      <c r="G175" s="168" t="s">
        <v>185</v>
      </c>
      <c r="H175" s="168" t="s">
        <v>185</v>
      </c>
      <c r="I175" s="168" t="s">
        <v>185</v>
      </c>
      <c r="J175" s="168">
        <v>152</v>
      </c>
      <c r="K175" s="168">
        <v>159</v>
      </c>
      <c r="L175" s="168">
        <v>160</v>
      </c>
      <c r="M175" s="168">
        <v>156</v>
      </c>
      <c r="N175" s="27">
        <v>152</v>
      </c>
      <c r="O175" s="884"/>
      <c r="P175" s="558"/>
      <c r="Q175" s="29"/>
      <c r="R175" s="589"/>
      <c r="S175" s="589"/>
      <c r="T175" s="589"/>
      <c r="U175" s="589"/>
      <c r="V175" s="589"/>
      <c r="W175" s="558">
        <v>2</v>
      </c>
      <c r="X175" s="589"/>
      <c r="Y175" s="589"/>
      <c r="Z175" s="785"/>
      <c r="AA175" s="785"/>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c r="IJ175" s="14"/>
      <c r="IK175" s="14"/>
      <c r="IL175" s="14"/>
      <c r="IM175" s="14"/>
      <c r="IN175" s="14"/>
      <c r="IO175" s="14"/>
      <c r="IP175" s="14"/>
    </row>
    <row r="176" spans="1:250" s="1" customFormat="1">
      <c r="A176" s="851"/>
      <c r="B176" s="232" t="str">
        <f>IF(Contents!$B$2=2,"Oil sands","Нефтяные пески")</f>
        <v>Нефтяные пески</v>
      </c>
      <c r="C176" s="178" t="str">
        <f>IF(Contents!$B$2=2,"mln boe","млн бнэ")</f>
        <v>млн бнэ</v>
      </c>
      <c r="D176" s="222">
        <v>0</v>
      </c>
      <c r="E176" s="222">
        <v>0</v>
      </c>
      <c r="F176" s="222">
        <v>0</v>
      </c>
      <c r="G176" s="222">
        <v>0</v>
      </c>
      <c r="H176" s="222">
        <v>0</v>
      </c>
      <c r="I176" s="222">
        <v>0</v>
      </c>
      <c r="J176" s="222">
        <v>0</v>
      </c>
      <c r="K176" s="222">
        <v>0</v>
      </c>
      <c r="L176" s="222">
        <v>0</v>
      </c>
      <c r="M176" s="222">
        <v>0</v>
      </c>
      <c r="N176" s="27">
        <v>0</v>
      </c>
      <c r="O176" s="884"/>
      <c r="P176" s="558"/>
      <c r="Q176" s="29"/>
      <c r="R176" s="465" t="s">
        <v>83</v>
      </c>
      <c r="S176" s="465"/>
      <c r="T176" s="589"/>
      <c r="U176" s="589"/>
      <c r="V176" s="589"/>
      <c r="W176" s="558">
        <v>2</v>
      </c>
      <c r="X176" s="589"/>
      <c r="Y176" s="589"/>
      <c r="Z176" s="785"/>
      <c r="AA176" s="785"/>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c r="IJ176" s="14"/>
      <c r="IK176" s="14"/>
      <c r="IL176" s="14"/>
      <c r="IM176" s="14"/>
      <c r="IN176" s="14"/>
      <c r="IO176" s="14"/>
      <c r="IP176" s="14"/>
    </row>
    <row r="177" spans="1:250" s="1" customFormat="1">
      <c r="A177" s="851"/>
      <c r="B177" s="232" t="str">
        <f>IF(Contents!$B$2=2,"Tar sands","Битуминозные пески")</f>
        <v>Битуминозные пески</v>
      </c>
      <c r="C177" s="178" t="str">
        <f>IF(Contents!$B$2=2,"mln boe","млн бнэ")</f>
        <v>млн бнэ</v>
      </c>
      <c r="D177" s="222">
        <v>0</v>
      </c>
      <c r="E177" s="222">
        <v>0</v>
      </c>
      <c r="F177" s="222">
        <v>0</v>
      </c>
      <c r="G177" s="222">
        <v>0</v>
      </c>
      <c r="H177" s="222">
        <v>0</v>
      </c>
      <c r="I177" s="222">
        <v>0</v>
      </c>
      <c r="J177" s="222">
        <v>0</v>
      </c>
      <c r="K177" s="222">
        <v>0</v>
      </c>
      <c r="L177" s="222">
        <v>0</v>
      </c>
      <c r="M177" s="222">
        <v>0</v>
      </c>
      <c r="N177" s="27">
        <v>0</v>
      </c>
      <c r="O177" s="884"/>
      <c r="P177" s="558"/>
      <c r="Q177" s="29"/>
      <c r="R177" s="465" t="s">
        <v>83</v>
      </c>
      <c r="S177" s="465"/>
      <c r="T177" s="589"/>
      <c r="U177" s="589"/>
      <c r="V177" s="589"/>
      <c r="W177" s="558">
        <v>2</v>
      </c>
      <c r="X177" s="589"/>
      <c r="Y177" s="589"/>
      <c r="Z177" s="785"/>
      <c r="AA177" s="785"/>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c r="IJ177" s="14"/>
      <c r="IK177" s="14"/>
      <c r="IL177" s="14"/>
      <c r="IM177" s="14"/>
      <c r="IN177" s="14"/>
      <c r="IO177" s="14"/>
      <c r="IP177" s="14"/>
    </row>
    <row r="178" spans="1:250" s="1" customFormat="1">
      <c r="A178" s="851"/>
      <c r="B178" s="232" t="str">
        <f>IF(Contents!$B$2=2,"Heavy oil","Тяжелая нефть")</f>
        <v>Тяжелая нефть</v>
      </c>
      <c r="C178" s="178" t="str">
        <f>IF(Contents!$B$2=2,"mln boe","млн бнэ")</f>
        <v>млн бнэ</v>
      </c>
      <c r="D178" s="222">
        <v>0</v>
      </c>
      <c r="E178" s="222">
        <v>0</v>
      </c>
      <c r="F178" s="222">
        <v>0</v>
      </c>
      <c r="G178" s="222">
        <v>0</v>
      </c>
      <c r="H178" s="222">
        <v>0</v>
      </c>
      <c r="I178" s="222">
        <v>0</v>
      </c>
      <c r="J178" s="222">
        <v>0</v>
      </c>
      <c r="K178" s="222">
        <v>0</v>
      </c>
      <c r="L178" s="222">
        <v>0</v>
      </c>
      <c r="M178" s="222">
        <v>0</v>
      </c>
      <c r="N178" s="27">
        <v>0</v>
      </c>
      <c r="O178" s="884"/>
      <c r="P178" s="558"/>
      <c r="Q178" s="29"/>
      <c r="R178" s="465" t="s">
        <v>83</v>
      </c>
      <c r="S178" s="465"/>
      <c r="T178" s="589"/>
      <c r="U178" s="589"/>
      <c r="V178" s="589"/>
      <c r="W178" s="558">
        <v>2</v>
      </c>
      <c r="X178" s="589"/>
      <c r="Y178" s="589"/>
      <c r="Z178" s="785"/>
      <c r="AA178" s="785"/>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c r="HM178" s="14"/>
      <c r="HN178" s="14"/>
      <c r="HO178" s="14"/>
      <c r="HP178" s="14"/>
      <c r="HQ178" s="14"/>
      <c r="HR178" s="14"/>
      <c r="HS178" s="14"/>
      <c r="HT178" s="14"/>
      <c r="HU178" s="14"/>
      <c r="HV178" s="14"/>
      <c r="HW178" s="14"/>
      <c r="HX178" s="14"/>
      <c r="HY178" s="14"/>
      <c r="HZ178" s="14"/>
      <c r="IA178" s="14"/>
      <c r="IB178" s="14"/>
      <c r="IC178" s="14"/>
      <c r="ID178" s="14"/>
      <c r="IE178" s="14"/>
      <c r="IF178" s="14"/>
      <c r="IG178" s="14"/>
      <c r="IH178" s="14"/>
      <c r="II178" s="14"/>
      <c r="IJ178" s="14"/>
      <c r="IK178" s="14"/>
      <c r="IL178" s="14"/>
      <c r="IM178" s="14"/>
      <c r="IN178" s="14"/>
      <c r="IO178" s="14"/>
      <c r="IP178" s="14"/>
    </row>
    <row r="179" spans="1:250" s="1" customFormat="1">
      <c r="A179" s="851"/>
      <c r="B179" s="232" t="str">
        <f>IF(Contents!$B$2=2,"Tight / shale oil","Cланцевая нефть/Низкопроницаемые коллектора")</f>
        <v>Cланцевая нефть/Низкопроницаемые коллектора</v>
      </c>
      <c r="C179" s="178" t="str">
        <f>IF(Contents!$B$2=2,"mln boe","млн бнэ")</f>
        <v>млн бнэ</v>
      </c>
      <c r="D179" s="222">
        <v>0</v>
      </c>
      <c r="E179" s="222">
        <v>0</v>
      </c>
      <c r="F179" s="222">
        <v>0</v>
      </c>
      <c r="G179" s="222">
        <v>0</v>
      </c>
      <c r="H179" s="222">
        <v>0</v>
      </c>
      <c r="I179" s="222">
        <v>0</v>
      </c>
      <c r="J179" s="222">
        <v>0</v>
      </c>
      <c r="K179" s="222">
        <v>0</v>
      </c>
      <c r="L179" s="222">
        <v>0</v>
      </c>
      <c r="M179" s="222">
        <v>0</v>
      </c>
      <c r="N179" s="27">
        <v>0</v>
      </c>
      <c r="O179" s="884"/>
      <c r="P179" s="558"/>
      <c r="Q179" s="29"/>
      <c r="R179" s="465" t="s">
        <v>83</v>
      </c>
      <c r="S179" s="465"/>
      <c r="T179" s="589"/>
      <c r="U179" s="589"/>
      <c r="V179" s="589"/>
      <c r="W179" s="558">
        <v>2</v>
      </c>
      <c r="X179" s="589"/>
      <c r="Y179" s="589"/>
      <c r="Z179" s="785"/>
      <c r="AA179" s="785"/>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c r="IJ179" s="14"/>
      <c r="IK179" s="14"/>
      <c r="IL179" s="14"/>
      <c r="IM179" s="14"/>
      <c r="IN179" s="14"/>
      <c r="IO179" s="14"/>
      <c r="IP179" s="14"/>
    </row>
    <row r="180" spans="1:250" s="1" customFormat="1">
      <c r="A180" s="851"/>
      <c r="B180" s="232" t="str">
        <f>IF(Contents!$B$2=2,"Share of natural gas reserves","Доля запасов природного газа")</f>
        <v>Доля запасов природного газа</v>
      </c>
      <c r="C180" s="189" t="s">
        <v>0</v>
      </c>
      <c r="D180" s="168" t="s">
        <v>185</v>
      </c>
      <c r="E180" s="168" t="s">
        <v>185</v>
      </c>
      <c r="F180" s="201">
        <v>90.7</v>
      </c>
      <c r="G180" s="201">
        <v>90.2</v>
      </c>
      <c r="H180" s="201">
        <v>89.8</v>
      </c>
      <c r="I180" s="201">
        <v>89.7</v>
      </c>
      <c r="J180" s="240">
        <v>90.1</v>
      </c>
      <c r="K180" s="240">
        <v>90.5</v>
      </c>
      <c r="L180" s="240">
        <v>90.4</v>
      </c>
      <c r="M180" s="240">
        <v>90.6</v>
      </c>
      <c r="N180" s="28">
        <v>90.7</v>
      </c>
      <c r="O180" s="884"/>
      <c r="P180" s="558"/>
      <c r="Q180" s="29"/>
      <c r="R180" s="465"/>
      <c r="S180" s="465"/>
      <c r="T180" s="589"/>
      <c r="U180" s="589"/>
      <c r="V180" s="589"/>
      <c r="W180" s="558">
        <v>2</v>
      </c>
      <c r="X180" s="589"/>
      <c r="Y180" s="589"/>
      <c r="Z180" s="785"/>
      <c r="AA180" s="785"/>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c r="HM180" s="14"/>
      <c r="HN180" s="14"/>
      <c r="HO180" s="14"/>
      <c r="HP180" s="14"/>
      <c r="HQ180" s="14"/>
      <c r="HR180" s="14"/>
      <c r="HS180" s="14"/>
      <c r="HT180" s="14"/>
      <c r="HU180" s="14"/>
      <c r="HV180" s="14"/>
      <c r="HW180" s="14"/>
      <c r="HX180" s="14"/>
      <c r="HY180" s="14"/>
      <c r="HZ180" s="14"/>
      <c r="IA180" s="14"/>
      <c r="IB180" s="14"/>
      <c r="IC180" s="14"/>
      <c r="ID180" s="14"/>
      <c r="IE180" s="14"/>
      <c r="IF180" s="14"/>
      <c r="IG180" s="14"/>
      <c r="IH180" s="14"/>
      <c r="II180" s="14"/>
      <c r="IJ180" s="14"/>
      <c r="IK180" s="14"/>
      <c r="IL180" s="14"/>
      <c r="IM180" s="14"/>
      <c r="IN180" s="14"/>
      <c r="IO180" s="14"/>
      <c r="IP180" s="14"/>
    </row>
    <row r="181" spans="1:250" s="1" customFormat="1">
      <c r="A181" s="851"/>
      <c r="B181" s="232" t="str">
        <f>IF(Contents!$B$2=2,"Share of liquids reserves","Доля запасов жидких углеводородов")</f>
        <v>Доля запасов жидких углеводородов</v>
      </c>
      <c r="C181" s="189" t="s">
        <v>0</v>
      </c>
      <c r="D181" s="168" t="s">
        <v>185</v>
      </c>
      <c r="E181" s="168" t="s">
        <v>185</v>
      </c>
      <c r="F181" s="240">
        <v>9.2999999999999972</v>
      </c>
      <c r="G181" s="240">
        <v>9.7999999999999972</v>
      </c>
      <c r="H181" s="240">
        <v>10.200000000000003</v>
      </c>
      <c r="I181" s="240">
        <v>10.299999999999997</v>
      </c>
      <c r="J181" s="240">
        <v>9.9</v>
      </c>
      <c r="K181" s="240">
        <v>9.5</v>
      </c>
      <c r="L181" s="240">
        <v>9.6</v>
      </c>
      <c r="M181" s="240">
        <v>9.4</v>
      </c>
      <c r="N181" s="28">
        <v>9.3000000000000007</v>
      </c>
      <c r="O181" s="884"/>
      <c r="P181" s="558"/>
      <c r="Q181" s="29"/>
      <c r="R181" s="465"/>
      <c r="S181" s="465"/>
      <c r="T181" s="589" t="s">
        <v>52</v>
      </c>
      <c r="U181" s="589"/>
      <c r="V181" s="589"/>
      <c r="W181" s="558">
        <v>2</v>
      </c>
      <c r="X181" s="589"/>
      <c r="Y181" s="589"/>
      <c r="Z181" s="785"/>
      <c r="AA181" s="785"/>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c r="IJ181" s="14"/>
      <c r="IK181" s="14"/>
      <c r="IL181" s="14"/>
      <c r="IM181" s="14"/>
      <c r="IN181" s="14"/>
      <c r="IO181" s="14"/>
      <c r="IP181" s="14"/>
    </row>
    <row r="182" spans="1:250">
      <c r="B182" s="249" t="str">
        <f>IF(Contents!$B$2=2,"by type of operations or location","по типу операций или месту расположения")</f>
        <v>по типу операций или месту расположения</v>
      </c>
      <c r="C182" s="220"/>
      <c r="D182" s="554"/>
      <c r="E182" s="554"/>
      <c r="F182" s="554"/>
      <c r="G182" s="554"/>
      <c r="H182" s="554"/>
      <c r="I182" s="554"/>
      <c r="J182" s="554"/>
      <c r="K182" s="554"/>
      <c r="L182" s="554"/>
      <c r="M182" s="554"/>
      <c r="N182" s="561"/>
      <c r="O182" s="22"/>
      <c r="Q182" s="29"/>
      <c r="R182" s="465"/>
      <c r="S182" s="465"/>
    </row>
    <row r="183" spans="1:250" s="1" customFormat="1">
      <c r="A183" s="851"/>
      <c r="B183" s="219" t="str">
        <f>IF(Contents!$B$2=2,"Arctic (onshore)","Арктика (суша)")</f>
        <v>Арктика (суша)</v>
      </c>
      <c r="C183" s="178" t="str">
        <f>IF(Contents!$B$2=2,"mln boe","млн бнэ")</f>
        <v>млн бнэ</v>
      </c>
      <c r="D183" s="168" t="s">
        <v>185</v>
      </c>
      <c r="E183" s="168" t="s">
        <v>185</v>
      </c>
      <c r="F183" s="168" t="s">
        <v>185</v>
      </c>
      <c r="G183" s="168" t="s">
        <v>185</v>
      </c>
      <c r="H183" s="168" t="s">
        <v>185</v>
      </c>
      <c r="I183" s="168" t="s">
        <v>185</v>
      </c>
      <c r="J183" s="208">
        <v>16388</v>
      </c>
      <c r="K183" s="208">
        <v>17552</v>
      </c>
      <c r="L183" s="208">
        <v>17581</v>
      </c>
      <c r="M183" s="208">
        <v>17492</v>
      </c>
      <c r="N183" s="209">
        <v>16963</v>
      </c>
      <c r="O183" s="884"/>
      <c r="P183" s="558"/>
      <c r="Q183" s="29"/>
      <c r="R183" s="465" t="s">
        <v>52</v>
      </c>
      <c r="S183" s="465"/>
      <c r="T183" s="589"/>
      <c r="U183" s="589"/>
      <c r="V183" s="589"/>
      <c r="W183" s="558">
        <v>2</v>
      </c>
      <c r="X183" s="589"/>
      <c r="Y183" s="589"/>
      <c r="Z183" s="785"/>
      <c r="AA183" s="785"/>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c r="HM183" s="14"/>
      <c r="HN183" s="14"/>
      <c r="HO183" s="14"/>
      <c r="HP183" s="14"/>
      <c r="HQ183" s="14"/>
      <c r="HR183" s="14"/>
      <c r="HS183" s="14"/>
      <c r="HT183" s="14"/>
      <c r="HU183" s="14"/>
      <c r="HV183" s="14"/>
      <c r="HW183" s="14"/>
      <c r="HX183" s="14"/>
      <c r="HY183" s="14"/>
      <c r="HZ183" s="14"/>
      <c r="IA183" s="14"/>
      <c r="IB183" s="14"/>
      <c r="IC183" s="14"/>
      <c r="ID183" s="14"/>
      <c r="IE183" s="14"/>
      <c r="IF183" s="14"/>
      <c r="IG183" s="14"/>
      <c r="IH183" s="14"/>
      <c r="II183" s="14"/>
      <c r="IJ183" s="14"/>
      <c r="IK183" s="14"/>
      <c r="IL183" s="14"/>
      <c r="IM183" s="14"/>
      <c r="IN183" s="14"/>
      <c r="IO183" s="14"/>
      <c r="IP183" s="14"/>
    </row>
    <row r="184" spans="1:250" s="1" customFormat="1">
      <c r="A184" s="851"/>
      <c r="B184" s="11" t="str">
        <f>IF(Contents!$B$2=2,"Arctic (offshore)","Арктика (шельф)")</f>
        <v>Арктика (шельф)</v>
      </c>
      <c r="C184" s="12" t="str">
        <f>IF(Contents!$B$2=2,"mln boe","млн бнэ")</f>
        <v>млн бнэ</v>
      </c>
      <c r="D184" s="213">
        <v>0</v>
      </c>
      <c r="E184" s="213">
        <v>0</v>
      </c>
      <c r="F184" s="213">
        <v>0</v>
      </c>
      <c r="G184" s="213">
        <v>0</v>
      </c>
      <c r="H184" s="213">
        <v>0</v>
      </c>
      <c r="I184" s="213">
        <v>0</v>
      </c>
      <c r="J184" s="208">
        <v>0</v>
      </c>
      <c r="K184" s="208">
        <v>0</v>
      </c>
      <c r="L184" s="208">
        <v>0</v>
      </c>
      <c r="M184" s="208">
        <v>0</v>
      </c>
      <c r="N184" s="789">
        <v>0</v>
      </c>
      <c r="O184" s="884"/>
      <c r="P184" s="558"/>
      <c r="Q184" s="29"/>
      <c r="R184" s="465"/>
      <c r="S184" s="465"/>
      <c r="T184" s="589"/>
      <c r="U184" s="589"/>
      <c r="V184" s="589"/>
      <c r="W184" s="558">
        <v>2</v>
      </c>
      <c r="X184" s="589"/>
      <c r="Y184" s="589"/>
      <c r="Z184" s="785"/>
      <c r="AA184" s="785"/>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c r="HM184" s="14"/>
      <c r="HN184" s="14"/>
      <c r="HO184" s="14"/>
      <c r="HP184" s="14"/>
      <c r="HQ184" s="14"/>
      <c r="HR184" s="14"/>
      <c r="HS184" s="14"/>
      <c r="HT184" s="14"/>
      <c r="HU184" s="14"/>
      <c r="HV184" s="14"/>
      <c r="HW184" s="14"/>
      <c r="HX184" s="14"/>
      <c r="HY184" s="14"/>
      <c r="HZ184" s="14"/>
      <c r="IA184" s="14"/>
      <c r="IB184" s="14"/>
      <c r="IC184" s="14"/>
      <c r="ID184" s="14"/>
      <c r="IE184" s="14"/>
      <c r="IF184" s="14"/>
      <c r="IG184" s="14"/>
      <c r="IH184" s="14"/>
      <c r="II184" s="14"/>
      <c r="IJ184" s="14"/>
      <c r="IK184" s="14"/>
      <c r="IL184" s="14"/>
      <c r="IM184" s="14"/>
      <c r="IN184" s="14"/>
      <c r="IO184" s="14"/>
      <c r="IP184" s="14"/>
    </row>
    <row r="185" spans="1:250" s="1" customFormat="1">
      <c r="A185" s="851"/>
      <c r="B185" s="219" t="str">
        <f>IF(Contents!$B$2=2,"Located close to protected areas or to habitats of endangered species","Вблизи охраняемых территорий или мест обитания исчезающих видов")</f>
        <v>Вблизи охраняемых территорий или мест обитания исчезающих видов</v>
      </c>
      <c r="C185" s="178" t="str">
        <f>IF(Contents!$B$2=2,"mln boe","млн бнэ")</f>
        <v>млн бнэ</v>
      </c>
      <c r="D185" s="168" t="s">
        <v>185</v>
      </c>
      <c r="E185" s="168" t="s">
        <v>185</v>
      </c>
      <c r="F185" s="168" t="s">
        <v>185</v>
      </c>
      <c r="G185" s="168" t="s">
        <v>185</v>
      </c>
      <c r="H185" s="168" t="s">
        <v>185</v>
      </c>
      <c r="I185" s="168" t="s">
        <v>185</v>
      </c>
      <c r="J185" s="222">
        <v>142</v>
      </c>
      <c r="K185" s="208">
        <v>1278</v>
      </c>
      <c r="L185" s="208">
        <v>1449</v>
      </c>
      <c r="M185" s="208">
        <v>1527</v>
      </c>
      <c r="N185" s="209">
        <v>1508</v>
      </c>
      <c r="O185" s="884"/>
      <c r="P185" s="558"/>
      <c r="Q185" s="29"/>
      <c r="R185" s="465"/>
      <c r="S185" s="465"/>
      <c r="T185" s="589"/>
      <c r="U185" s="589"/>
      <c r="V185" s="589"/>
      <c r="W185" s="558">
        <v>2</v>
      </c>
      <c r="X185" s="589" t="s">
        <v>52</v>
      </c>
      <c r="Y185" s="589"/>
      <c r="Z185" s="785"/>
      <c r="AA185" s="785"/>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14"/>
      <c r="HE185" s="14"/>
      <c r="HF185" s="14"/>
      <c r="HG185" s="14"/>
      <c r="HH185" s="14"/>
      <c r="HI185" s="14"/>
      <c r="HJ185" s="14"/>
      <c r="HK185" s="14"/>
      <c r="HL185" s="14"/>
      <c r="HM185" s="14"/>
      <c r="HN185" s="14"/>
      <c r="HO185" s="14"/>
      <c r="HP185" s="14"/>
      <c r="HQ185" s="14"/>
      <c r="HR185" s="14"/>
      <c r="HS185" s="14"/>
      <c r="HT185" s="14"/>
      <c r="HU185" s="14"/>
      <c r="HV185" s="14"/>
      <c r="HW185" s="14"/>
      <c r="HX185" s="14"/>
      <c r="HY185" s="14"/>
      <c r="HZ185" s="14"/>
      <c r="IA185" s="14"/>
      <c r="IB185" s="14"/>
      <c r="IC185" s="14"/>
      <c r="ID185" s="14"/>
      <c r="IE185" s="14"/>
      <c r="IF185" s="14"/>
      <c r="IG185" s="14"/>
      <c r="IH185" s="14"/>
      <c r="II185" s="14"/>
      <c r="IJ185" s="14"/>
      <c r="IK185" s="14"/>
      <c r="IL185" s="14"/>
      <c r="IM185" s="14"/>
      <c r="IN185" s="14"/>
      <c r="IO185" s="14"/>
      <c r="IP185" s="14"/>
    </row>
    <row r="186" spans="1:250" s="1" customFormat="1">
      <c r="A186" s="851"/>
      <c r="B186" s="219" t="str">
        <f>IF(Contents!$B$2=2,"Transit zone (land/water area)","В прибрежной территории")</f>
        <v>В прибрежной территории</v>
      </c>
      <c r="C186" s="178" t="str">
        <f>IF(Contents!$B$2=2,"mln boe","млн бнэ")</f>
        <v>млн бнэ</v>
      </c>
      <c r="D186" s="168" t="s">
        <v>185</v>
      </c>
      <c r="E186" s="168" t="s">
        <v>185</v>
      </c>
      <c r="F186" s="168" t="s">
        <v>185</v>
      </c>
      <c r="G186" s="168" t="s">
        <v>185</v>
      </c>
      <c r="H186" s="168" t="s">
        <v>185</v>
      </c>
      <c r="I186" s="168" t="s">
        <v>185</v>
      </c>
      <c r="J186" s="208">
        <v>7379</v>
      </c>
      <c r="K186" s="208">
        <v>7416</v>
      </c>
      <c r="L186" s="208">
        <v>7488</v>
      </c>
      <c r="M186" s="208">
        <v>7497</v>
      </c>
      <c r="N186" s="209">
        <v>7612</v>
      </c>
      <c r="O186" s="884"/>
      <c r="P186" s="558"/>
      <c r="Q186" s="29"/>
      <c r="R186" s="465"/>
      <c r="S186" s="465"/>
      <c r="T186" s="589"/>
      <c r="U186" s="589"/>
      <c r="V186" s="589"/>
      <c r="W186" s="558">
        <v>2</v>
      </c>
      <c r="X186" s="589"/>
      <c r="Y186" s="589"/>
      <c r="Z186" s="785"/>
      <c r="AA186" s="785"/>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14"/>
      <c r="HE186" s="14"/>
      <c r="HF186" s="14"/>
      <c r="HG186" s="14"/>
      <c r="HH186" s="14"/>
      <c r="HI186" s="14"/>
      <c r="HJ186" s="14"/>
      <c r="HK186" s="14"/>
      <c r="HL186" s="14"/>
      <c r="HM186" s="14"/>
      <c r="HN186" s="14"/>
      <c r="HO186" s="14"/>
      <c r="HP186" s="14"/>
      <c r="HQ186" s="14"/>
      <c r="HR186" s="14"/>
      <c r="HS186" s="14"/>
      <c r="HT186" s="14"/>
      <c r="HU186" s="14"/>
      <c r="HV186" s="14"/>
      <c r="HW186" s="14"/>
      <c r="HX186" s="14"/>
      <c r="HY186" s="14"/>
      <c r="HZ186" s="14"/>
      <c r="IA186" s="14"/>
      <c r="IB186" s="14"/>
      <c r="IC186" s="14"/>
      <c r="ID186" s="14"/>
      <c r="IE186" s="14"/>
      <c r="IF186" s="14"/>
      <c r="IG186" s="14"/>
      <c r="IH186" s="14"/>
      <c r="II186" s="14"/>
      <c r="IJ186" s="14"/>
      <c r="IK186" s="14"/>
      <c r="IL186" s="14"/>
      <c r="IM186" s="14"/>
      <c r="IN186" s="14"/>
      <c r="IO186" s="14"/>
      <c r="IP186" s="14"/>
    </row>
    <row r="187" spans="1:250" s="1" customFormat="1">
      <c r="A187" s="851"/>
      <c r="B187" s="219" t="str">
        <f>IF(Contents!$B$2=2,"Deep-water","Глубоководье")</f>
        <v>Глубоководье</v>
      </c>
      <c r="C187" s="178" t="str">
        <f>IF(Contents!$B$2=2,"mln boe","млн бнэ")</f>
        <v>млн бнэ</v>
      </c>
      <c r="D187" s="213">
        <v>0</v>
      </c>
      <c r="E187" s="213">
        <v>0</v>
      </c>
      <c r="F187" s="213">
        <v>0</v>
      </c>
      <c r="G187" s="213">
        <v>0</v>
      </c>
      <c r="H187" s="213">
        <v>0</v>
      </c>
      <c r="I187" s="213">
        <v>0</v>
      </c>
      <c r="J187" s="222">
        <v>0</v>
      </c>
      <c r="K187" s="222">
        <v>0</v>
      </c>
      <c r="L187" s="222">
        <v>0</v>
      </c>
      <c r="M187" s="222">
        <v>0</v>
      </c>
      <c r="N187" s="200">
        <v>0</v>
      </c>
      <c r="O187" s="884"/>
      <c r="P187" s="558"/>
      <c r="Q187" s="29"/>
      <c r="R187" s="465"/>
      <c r="S187" s="465"/>
      <c r="T187" s="589"/>
      <c r="U187" s="589"/>
      <c r="V187" s="589"/>
      <c r="W187" s="558">
        <v>2</v>
      </c>
      <c r="X187" s="589"/>
      <c r="Y187" s="589"/>
      <c r="Z187" s="785"/>
      <c r="AA187" s="785"/>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14"/>
      <c r="HE187" s="14"/>
      <c r="HF187" s="14"/>
      <c r="HG187" s="14"/>
      <c r="HH187" s="14"/>
      <c r="HI187" s="14"/>
      <c r="HJ187" s="14"/>
      <c r="HK187" s="14"/>
      <c r="HL187" s="14"/>
      <c r="HM187" s="14"/>
      <c r="HN187" s="14"/>
      <c r="HO187" s="14"/>
      <c r="HP187" s="14"/>
      <c r="HQ187" s="14"/>
      <c r="HR187" s="14"/>
      <c r="HS187" s="14"/>
      <c r="HT187" s="14"/>
      <c r="HU187" s="14"/>
      <c r="HV187" s="14"/>
      <c r="HW187" s="14"/>
      <c r="HX187" s="14"/>
      <c r="HY187" s="14"/>
      <c r="HZ187" s="14"/>
      <c r="IA187" s="14"/>
      <c r="IB187" s="14"/>
      <c r="IC187" s="14"/>
      <c r="ID187" s="14"/>
      <c r="IE187" s="14"/>
      <c r="IF187" s="14"/>
      <c r="IG187" s="14"/>
      <c r="IH187" s="14"/>
      <c r="II187" s="14"/>
      <c r="IJ187" s="14"/>
      <c r="IK187" s="14"/>
      <c r="IL187" s="14"/>
      <c r="IM187" s="14"/>
      <c r="IN187" s="14"/>
      <c r="IO187" s="14"/>
      <c r="IP187" s="14"/>
    </row>
    <row r="188" spans="1:250" s="1" customFormat="1" ht="36">
      <c r="A188" s="851"/>
      <c r="B188" s="190" t="str">
        <f>IF(Contents!$B$2=2,"Percentage of proved reserves located in protected areas or habitats of endangered species","Доля доказанных запасов углеводородов, расположенных на охраняемых территориях или в местах обитания исчезающих видов")</f>
        <v>Доля доказанных запасов углеводородов, расположенных на охраняемых территориях или в местах обитания исчезающих видов</v>
      </c>
      <c r="C188" s="178" t="s">
        <v>0</v>
      </c>
      <c r="D188" s="231">
        <v>0</v>
      </c>
      <c r="E188" s="231">
        <v>0</v>
      </c>
      <c r="F188" s="231">
        <v>0</v>
      </c>
      <c r="G188" s="231">
        <v>0</v>
      </c>
      <c r="H188" s="231">
        <v>0</v>
      </c>
      <c r="I188" s="231">
        <v>0</v>
      </c>
      <c r="J188" s="231">
        <v>0</v>
      </c>
      <c r="K188" s="231">
        <v>0</v>
      </c>
      <c r="L188" s="231">
        <v>0</v>
      </c>
      <c r="M188" s="231">
        <v>0</v>
      </c>
      <c r="N188" s="789">
        <v>0</v>
      </c>
      <c r="O188" s="884"/>
      <c r="P188" s="558" t="str">
        <f>IF(Contents!$B$2=2,"Yes","Да")</f>
        <v>Да</v>
      </c>
      <c r="Q188" s="29"/>
      <c r="R188" s="465"/>
      <c r="S188" s="465" t="s">
        <v>84</v>
      </c>
      <c r="T188" s="589"/>
      <c r="U188" s="589"/>
      <c r="V188" s="589"/>
      <c r="W188" s="558">
        <v>3</v>
      </c>
      <c r="X188" s="589"/>
      <c r="Y188" s="589"/>
      <c r="Z188" s="785"/>
      <c r="AA188" s="785"/>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14"/>
      <c r="HE188" s="14"/>
      <c r="HF188" s="14"/>
      <c r="HG188" s="14"/>
      <c r="HH188" s="14"/>
      <c r="HI188" s="14"/>
      <c r="HJ188" s="14"/>
      <c r="HK188" s="14"/>
      <c r="HL188" s="14"/>
      <c r="HM188" s="14"/>
      <c r="HN188" s="14"/>
      <c r="HO188" s="14"/>
      <c r="HP188" s="14"/>
      <c r="HQ188" s="14"/>
      <c r="HR188" s="14"/>
      <c r="HS188" s="14"/>
      <c r="HT188" s="14"/>
      <c r="HU188" s="14"/>
      <c r="HV188" s="14"/>
      <c r="HW188" s="14"/>
      <c r="HX188" s="14"/>
      <c r="HY188" s="14"/>
      <c r="HZ188" s="14"/>
      <c r="IA188" s="14"/>
      <c r="IB188" s="14"/>
      <c r="IC188" s="14"/>
      <c r="ID188" s="14"/>
      <c r="IE188" s="14"/>
      <c r="IF188" s="14"/>
      <c r="IG188" s="14"/>
      <c r="IH188" s="14"/>
      <c r="II188" s="14"/>
      <c r="IJ188" s="14"/>
      <c r="IK188" s="14"/>
      <c r="IL188" s="14"/>
      <c r="IM188" s="14"/>
      <c r="IN188" s="14"/>
      <c r="IO188" s="14"/>
      <c r="IP188" s="14"/>
    </row>
    <row r="189" spans="1:250" s="1" customFormat="1" ht="37.5" customHeight="1">
      <c r="A189" s="851"/>
      <c r="B189" s="190" t="str">
        <f>IF(Contents!$B$2=2,"Percentage of proved and probable reserves in or near areas of conflict","Доля доказанных и вероятных запасов углеводородов в границах или вблизи зон конфликтов")</f>
        <v>Доля доказанных и вероятных запасов углеводородов в границах или вблизи зон конфликтов</v>
      </c>
      <c r="C189" s="180" t="s">
        <v>0</v>
      </c>
      <c r="D189" s="222">
        <v>0</v>
      </c>
      <c r="E189" s="222">
        <v>0</v>
      </c>
      <c r="F189" s="222">
        <v>0</v>
      </c>
      <c r="G189" s="222">
        <v>0</v>
      </c>
      <c r="H189" s="222">
        <v>0</v>
      </c>
      <c r="I189" s="222">
        <v>0</v>
      </c>
      <c r="J189" s="222">
        <v>0</v>
      </c>
      <c r="K189" s="222">
        <v>0</v>
      </c>
      <c r="L189" s="231">
        <v>0</v>
      </c>
      <c r="M189" s="231">
        <v>0</v>
      </c>
      <c r="N189" s="789">
        <v>0</v>
      </c>
      <c r="O189" s="884"/>
      <c r="P189" s="558" t="str">
        <f>IF(Contents!$B$2=2,"Yes","Да")</f>
        <v>Да</v>
      </c>
      <c r="Q189" s="29"/>
      <c r="R189" s="465"/>
      <c r="S189" s="465" t="s">
        <v>85</v>
      </c>
      <c r="T189" s="589"/>
      <c r="U189" s="589"/>
      <c r="V189" s="589"/>
      <c r="W189" s="558">
        <v>3</v>
      </c>
      <c r="X189" s="589"/>
      <c r="Y189" s="589"/>
      <c r="Z189" s="785"/>
      <c r="AA189" s="785"/>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c r="HM189" s="14"/>
      <c r="HN189" s="14"/>
      <c r="HO189" s="14"/>
      <c r="HP189" s="14"/>
      <c r="HQ189" s="14"/>
      <c r="HR189" s="14"/>
      <c r="HS189" s="14"/>
      <c r="HT189" s="14"/>
      <c r="HU189" s="14"/>
      <c r="HV189" s="14"/>
      <c r="HW189" s="14"/>
      <c r="HX189" s="14"/>
      <c r="HY189" s="14"/>
      <c r="HZ189" s="14"/>
      <c r="IA189" s="14"/>
      <c r="IB189" s="14"/>
      <c r="IC189" s="14"/>
      <c r="ID189" s="14"/>
      <c r="IE189" s="14"/>
      <c r="IF189" s="14"/>
      <c r="IG189" s="14"/>
      <c r="IH189" s="14"/>
      <c r="II189" s="14"/>
      <c r="IJ189" s="14"/>
      <c r="IK189" s="14"/>
      <c r="IL189" s="14"/>
      <c r="IM189" s="14"/>
      <c r="IN189" s="14"/>
      <c r="IO189" s="14"/>
      <c r="IP189" s="14"/>
    </row>
    <row r="190" spans="1:250" s="1" customFormat="1" ht="32.1" customHeight="1">
      <c r="A190" s="851"/>
      <c r="B190" s="190" t="str">
        <f>IF(Contents!$B$2=2,"Percentage of proved and probable reserves in or near indigenous land","Доля доказанных и вероятных запасов углеводородов в границах или вблизи территорий проживания коренных народов")</f>
        <v>Доля доказанных и вероятных запасов углеводородов в границах или вблизи территорий проживания коренных народов</v>
      </c>
      <c r="C190" s="180" t="s">
        <v>0</v>
      </c>
      <c r="D190" s="168" t="s">
        <v>185</v>
      </c>
      <c r="E190" s="168" t="s">
        <v>185</v>
      </c>
      <c r="F190" s="168" t="s">
        <v>185</v>
      </c>
      <c r="G190" s="168" t="s">
        <v>185</v>
      </c>
      <c r="H190" s="168" t="s">
        <v>185</v>
      </c>
      <c r="I190" s="168" t="s">
        <v>185</v>
      </c>
      <c r="J190" s="168" t="s">
        <v>185</v>
      </c>
      <c r="K190" s="222">
        <v>100</v>
      </c>
      <c r="L190" s="222">
        <v>100</v>
      </c>
      <c r="M190" s="222">
        <v>100</v>
      </c>
      <c r="N190" s="200">
        <v>100</v>
      </c>
      <c r="O190" s="884"/>
      <c r="P190" s="558" t="str">
        <f>IF(Contents!$B$2=2,"Yes","Да")</f>
        <v>Да</v>
      </c>
      <c r="Q190" s="29"/>
      <c r="R190" s="465"/>
      <c r="S190" s="465" t="s">
        <v>86</v>
      </c>
      <c r="T190" s="589"/>
      <c r="U190" s="589"/>
      <c r="V190" s="589"/>
      <c r="W190" s="558">
        <v>3</v>
      </c>
      <c r="X190" s="589"/>
      <c r="Y190" s="589"/>
      <c r="Z190" s="785"/>
      <c r="AA190" s="785"/>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c r="HM190" s="14"/>
      <c r="HN190" s="14"/>
      <c r="HO190" s="14"/>
      <c r="HP190" s="14"/>
      <c r="HQ190" s="14"/>
      <c r="HR190" s="14"/>
      <c r="HS190" s="14"/>
      <c r="HT190" s="14"/>
      <c r="HU190" s="14"/>
      <c r="HV190" s="14"/>
      <c r="HW190" s="14"/>
      <c r="HX190" s="14"/>
      <c r="HY190" s="14"/>
      <c r="HZ190" s="14"/>
      <c r="IA190" s="14"/>
      <c r="IB190" s="14"/>
      <c r="IC190" s="14"/>
      <c r="ID190" s="14"/>
      <c r="IE190" s="14"/>
      <c r="IF190" s="14"/>
      <c r="IG190" s="14"/>
      <c r="IH190" s="14"/>
      <c r="II190" s="14"/>
      <c r="IJ190" s="14"/>
      <c r="IK190" s="14"/>
      <c r="IL190" s="14"/>
      <c r="IM190" s="14"/>
      <c r="IN190" s="14"/>
      <c r="IO190" s="14"/>
      <c r="IP190" s="14"/>
    </row>
    <row r="191" spans="1:250" s="1" customFormat="1" ht="19.5" customHeight="1">
      <c r="A191" s="851"/>
      <c r="B191" s="190"/>
      <c r="C191" s="180"/>
      <c r="D191" s="168"/>
      <c r="E191" s="168"/>
      <c r="F191" s="168"/>
      <c r="G191" s="168"/>
      <c r="H191" s="168"/>
      <c r="I191" s="168"/>
      <c r="J191" s="168"/>
      <c r="K191" s="222"/>
      <c r="L191" s="222"/>
      <c r="M191" s="222"/>
      <c r="N191" s="222"/>
      <c r="O191" s="884"/>
      <c r="P191" s="558"/>
      <c r="Q191" s="29"/>
      <c r="R191" s="465"/>
      <c r="S191" s="465"/>
      <c r="T191" s="589"/>
      <c r="U191" s="589"/>
      <c r="V191" s="589"/>
      <c r="W191" s="558"/>
      <c r="X191" s="589"/>
      <c r="Y191" s="589"/>
      <c r="Z191" s="785"/>
      <c r="AA191" s="785"/>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14"/>
      <c r="HE191" s="14"/>
      <c r="HF191" s="14"/>
      <c r="HG191" s="14"/>
      <c r="HH191" s="14"/>
      <c r="HI191" s="14"/>
      <c r="HJ191" s="14"/>
      <c r="HK191" s="14"/>
      <c r="HL191" s="14"/>
      <c r="HM191" s="14"/>
      <c r="HN191" s="14"/>
      <c r="HO191" s="14"/>
      <c r="HP191" s="14"/>
      <c r="HQ191" s="14"/>
      <c r="HR191" s="14"/>
      <c r="HS191" s="14"/>
      <c r="HT191" s="14"/>
      <c r="HU191" s="14"/>
      <c r="HV191" s="14"/>
      <c r="HW191" s="14"/>
      <c r="HX191" s="14"/>
      <c r="HY191" s="14"/>
      <c r="HZ191" s="14"/>
      <c r="IA191" s="14"/>
      <c r="IB191" s="14"/>
      <c r="IC191" s="14"/>
      <c r="ID191" s="14"/>
      <c r="IE191" s="14"/>
      <c r="IF191" s="14"/>
      <c r="IG191" s="14"/>
      <c r="IH191" s="14"/>
      <c r="II191" s="14"/>
      <c r="IJ191" s="14"/>
      <c r="IK191" s="14"/>
      <c r="IL191" s="14"/>
      <c r="IM191" s="14"/>
      <c r="IN191" s="14"/>
      <c r="IO191" s="14"/>
      <c r="IP191" s="14"/>
    </row>
    <row r="192" spans="1:250" s="1" customFormat="1">
      <c r="A192" s="851"/>
      <c r="B192" s="25" t="str">
        <f>IF(Contents!$B$2=2,"Notes:","Примечания:")</f>
        <v>Примечания:</v>
      </c>
      <c r="C192" s="180"/>
      <c r="D192" s="543"/>
      <c r="E192" s="543"/>
      <c r="F192" s="543"/>
      <c r="G192" s="543"/>
      <c r="H192" s="37"/>
      <c r="I192" s="558"/>
      <c r="J192" s="37"/>
      <c r="K192" s="558"/>
      <c r="L192" s="557"/>
      <c r="M192" s="557"/>
      <c r="N192" s="558"/>
      <c r="O192" s="884"/>
      <c r="P192" s="589"/>
      <c r="Q192" s="22"/>
      <c r="R192" s="465"/>
      <c r="S192" s="465"/>
      <c r="T192" s="589"/>
      <c r="U192" s="589"/>
      <c r="V192" s="589"/>
      <c r="W192" s="589"/>
      <c r="X192" s="589"/>
      <c r="Y192" s="589"/>
      <c r="Z192" s="785"/>
      <c r="AA192" s="785"/>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14"/>
      <c r="HE192" s="14"/>
      <c r="HF192" s="14"/>
      <c r="HG192" s="14"/>
      <c r="HH192" s="14"/>
      <c r="HI192" s="14"/>
      <c r="HJ192" s="14"/>
      <c r="HK192" s="14"/>
      <c r="HL192" s="14"/>
      <c r="HM192" s="14"/>
      <c r="HN192" s="14"/>
      <c r="HO192" s="14"/>
      <c r="HP192" s="14"/>
      <c r="HQ192" s="14"/>
      <c r="HR192" s="14"/>
      <c r="HS192" s="14"/>
      <c r="HT192" s="14"/>
      <c r="HU192" s="14"/>
      <c r="HV192" s="14"/>
      <c r="HW192" s="14"/>
      <c r="HX192" s="14"/>
      <c r="HY192" s="14"/>
      <c r="HZ192" s="14"/>
      <c r="IA192" s="14"/>
      <c r="IB192" s="14"/>
      <c r="IC192" s="14"/>
      <c r="ID192" s="14"/>
      <c r="IE192" s="14"/>
      <c r="IF192" s="14"/>
      <c r="IG192" s="14"/>
      <c r="IH192" s="14"/>
      <c r="II192" s="14"/>
      <c r="IJ192" s="14"/>
      <c r="IK192" s="14"/>
      <c r="IL192" s="14"/>
      <c r="IM192" s="14"/>
      <c r="IN192" s="14"/>
      <c r="IO192" s="14"/>
      <c r="IP192" s="14"/>
    </row>
    <row r="193" spans="1:250" s="1" customFormat="1">
      <c r="A193" s="851"/>
      <c r="B193" s="26" t="str">
        <f>IF(Contents!$B$2=2,"Calculation of estimated greenhouse gas emissions from proven reserves is based on the WRI methodology (calculated for natural gas, oil and gas condensate reserves).","Расчет потенциальных выбросов парниковых газов по доказанным запасам основан на методике WRI (рассчитано по запасам природного газа, нефти и газового конденсата).")</f>
        <v>Расчет потенциальных выбросов парниковых газов по доказанным запасам основан на методике WRI (рассчитано по запасам природного газа, нефти и газового конденсата).</v>
      </c>
      <c r="C193" s="180"/>
      <c r="D193" s="543"/>
      <c r="E193" s="543"/>
      <c r="F193" s="543"/>
      <c r="G193" s="543"/>
      <c r="H193" s="37"/>
      <c r="I193" s="558"/>
      <c r="J193" s="37"/>
      <c r="K193" s="558"/>
      <c r="L193" s="557"/>
      <c r="M193" s="557"/>
      <c r="N193" s="558"/>
      <c r="O193" s="22"/>
      <c r="P193" s="589"/>
      <c r="Q193" s="22"/>
      <c r="R193" s="465"/>
      <c r="S193" s="465"/>
      <c r="T193" s="589"/>
      <c r="U193" s="589"/>
      <c r="V193" s="589"/>
      <c r="W193" s="589"/>
      <c r="X193" s="589"/>
      <c r="Y193" s="589"/>
      <c r="Z193" s="785"/>
      <c r="AA193" s="785"/>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14"/>
      <c r="HE193" s="14"/>
      <c r="HF193" s="14"/>
      <c r="HG193" s="14"/>
      <c r="HH193" s="14"/>
      <c r="HI193" s="14"/>
      <c r="HJ193" s="14"/>
      <c r="HK193" s="14"/>
      <c r="HL193" s="14"/>
      <c r="HM193" s="14"/>
      <c r="HN193" s="14"/>
      <c r="HO193" s="14"/>
      <c r="HP193" s="14"/>
      <c r="HQ193" s="14"/>
      <c r="HR193" s="14"/>
      <c r="HS193" s="14"/>
      <c r="HT193" s="14"/>
      <c r="HU193" s="14"/>
      <c r="HV193" s="14"/>
      <c r="HW193" s="14"/>
      <c r="HX193" s="14"/>
      <c r="HY193" s="14"/>
      <c r="HZ193" s="14"/>
      <c r="IA193" s="14"/>
      <c r="IB193" s="14"/>
      <c r="IC193" s="14"/>
      <c r="ID193" s="14"/>
      <c r="IE193" s="14"/>
      <c r="IF193" s="14"/>
      <c r="IG193" s="14"/>
      <c r="IH193" s="14"/>
      <c r="II193" s="14"/>
      <c r="IJ193" s="14"/>
      <c r="IK193" s="14"/>
      <c r="IL193" s="14"/>
      <c r="IM193" s="14"/>
      <c r="IN193" s="14"/>
      <c r="IO193" s="14"/>
      <c r="IP193" s="14"/>
    </row>
    <row r="194" spans="1:250" s="1" customFormat="1">
      <c r="A194" s="851"/>
      <c r="B194" s="190"/>
      <c r="C194" s="180"/>
      <c r="D194" s="543"/>
      <c r="E194" s="543"/>
      <c r="F194" s="543"/>
      <c r="G194" s="543"/>
      <c r="H194" s="37"/>
      <c r="I194" s="558"/>
      <c r="J194" s="37"/>
      <c r="K194" s="558"/>
      <c r="L194" s="557"/>
      <c r="M194" s="557"/>
      <c r="N194" s="558"/>
      <c r="O194" s="22"/>
      <c r="P194" s="589"/>
      <c r="Q194" s="22"/>
      <c r="R194" s="465"/>
      <c r="S194" s="465"/>
      <c r="T194" s="589"/>
      <c r="U194" s="589"/>
      <c r="V194" s="589"/>
      <c r="W194" s="589"/>
      <c r="X194" s="589"/>
      <c r="Y194" s="589"/>
      <c r="Z194" s="785"/>
      <c r="AA194" s="785"/>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c r="HS194" s="14"/>
      <c r="HT194" s="14"/>
      <c r="HU194" s="14"/>
      <c r="HV194" s="14"/>
      <c r="HW194" s="14"/>
      <c r="HX194" s="14"/>
      <c r="HY194" s="14"/>
      <c r="HZ194" s="14"/>
      <c r="IA194" s="14"/>
      <c r="IB194" s="14"/>
      <c r="IC194" s="14"/>
      <c r="ID194" s="14"/>
      <c r="IE194" s="14"/>
      <c r="IF194" s="14"/>
      <c r="IG194" s="14"/>
      <c r="IH194" s="14"/>
      <c r="II194" s="14"/>
      <c r="IJ194" s="14"/>
      <c r="IK194" s="14"/>
      <c r="IL194" s="14"/>
      <c r="IM194" s="14"/>
      <c r="IN194" s="14"/>
      <c r="IO194" s="14"/>
      <c r="IP194" s="14"/>
    </row>
    <row r="195" spans="1:250">
      <c r="B195" s="181" t="str">
        <f>IF(Contents!$B$2=2,"Licence areas","Лицензионные участки")</f>
        <v>Лицензионные участки</v>
      </c>
      <c r="C195" s="217"/>
      <c r="D195" s="247" t="s">
        <v>185</v>
      </c>
      <c r="E195" s="247" t="s">
        <v>185</v>
      </c>
      <c r="F195" s="247" t="s">
        <v>185</v>
      </c>
      <c r="G195" s="247" t="s">
        <v>185</v>
      </c>
      <c r="H195" s="247" t="s">
        <v>185</v>
      </c>
      <c r="I195" s="250">
        <v>72</v>
      </c>
      <c r="J195" s="250">
        <v>79</v>
      </c>
      <c r="K195" s="250">
        <v>83</v>
      </c>
      <c r="L195" s="250">
        <v>83</v>
      </c>
      <c r="M195" s="250">
        <v>82</v>
      </c>
      <c r="N195" s="250">
        <v>82</v>
      </c>
      <c r="O195" s="817"/>
      <c r="P195" s="558" t="str">
        <f>IF(Contents!$B$2=2,"Yes","Да")</f>
        <v>Да</v>
      </c>
      <c r="Q195" s="29"/>
      <c r="R195" s="465"/>
      <c r="S195" s="465"/>
      <c r="W195" s="558">
        <v>3</v>
      </c>
      <c r="X195" s="558"/>
    </row>
    <row r="196" spans="1:250">
      <c r="B196" s="249" t="str">
        <f>IF(Contents!$B$2=2,"by location","по месту расположения")</f>
        <v>по месту расположения</v>
      </c>
      <c r="C196" s="220"/>
      <c r="D196" s="554"/>
      <c r="E196" s="554"/>
      <c r="F196" s="554"/>
      <c r="G196" s="554"/>
      <c r="H196" s="554"/>
      <c r="I196" s="554"/>
      <c r="J196" s="554"/>
      <c r="K196" s="554"/>
      <c r="L196" s="554"/>
      <c r="M196" s="554"/>
      <c r="N196" s="554"/>
      <c r="O196" s="22"/>
      <c r="P196" s="558"/>
      <c r="Q196" s="29"/>
      <c r="R196" s="465"/>
      <c r="S196" s="465"/>
    </row>
    <row r="197" spans="1:250" s="1" customFormat="1" ht="24" customHeight="1">
      <c r="A197" s="851"/>
      <c r="B197" s="232" t="str">
        <f>IF(Contents!$B$2=2,"Licence areas located completely in water areas ","Лицензионные участки, полностью расположенные в акваториях")</f>
        <v>Лицензионные участки, полностью расположенные в акваториях</v>
      </c>
      <c r="C197" s="12" t="str">
        <f>IF(Contents!$B$2=2,"unit","ед.")</f>
        <v>ед.</v>
      </c>
      <c r="D197" s="168" t="s">
        <v>185</v>
      </c>
      <c r="E197" s="168" t="s">
        <v>185</v>
      </c>
      <c r="F197" s="168" t="s">
        <v>185</v>
      </c>
      <c r="G197" s="168" t="s">
        <v>185</v>
      </c>
      <c r="H197" s="168" t="s">
        <v>185</v>
      </c>
      <c r="I197" s="222">
        <v>2</v>
      </c>
      <c r="J197" s="222">
        <v>3</v>
      </c>
      <c r="K197" s="222">
        <v>4</v>
      </c>
      <c r="L197" s="222">
        <v>4</v>
      </c>
      <c r="M197" s="222">
        <v>4</v>
      </c>
      <c r="N197" s="200">
        <v>4</v>
      </c>
      <c r="O197" s="22"/>
      <c r="P197" s="558" t="str">
        <f>IF(Contents!$B$2=2,"Yes","Да")</f>
        <v>Да</v>
      </c>
      <c r="Q197" s="29"/>
      <c r="R197" s="465"/>
      <c r="S197" s="465" t="s">
        <v>87</v>
      </c>
      <c r="T197" s="589"/>
      <c r="U197" s="589"/>
      <c r="V197" s="589"/>
      <c r="W197" s="558">
        <v>3</v>
      </c>
      <c r="X197" s="589"/>
      <c r="Y197" s="589"/>
      <c r="Z197" s="785"/>
      <c r="AA197" s="785"/>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c r="HS197" s="14"/>
      <c r="HT197" s="14"/>
      <c r="HU197" s="14"/>
      <c r="HV197" s="14"/>
      <c r="HW197" s="14"/>
      <c r="HX197" s="14"/>
      <c r="HY197" s="14"/>
      <c r="HZ197" s="14"/>
      <c r="IA197" s="14"/>
      <c r="IB197" s="14"/>
      <c r="IC197" s="14"/>
      <c r="ID197" s="14"/>
      <c r="IE197" s="14"/>
      <c r="IF197" s="14"/>
      <c r="IG197" s="14"/>
      <c r="IH197" s="14"/>
      <c r="II197" s="14"/>
      <c r="IJ197" s="14"/>
      <c r="IK197" s="14"/>
      <c r="IL197" s="14"/>
      <c r="IM197" s="14"/>
      <c r="IN197" s="14"/>
      <c r="IO197" s="14"/>
      <c r="IP197" s="14"/>
    </row>
    <row r="198" spans="1:250" s="1" customFormat="1" ht="24" customHeight="1">
      <c r="A198" s="851"/>
      <c r="B198" s="232" t="str">
        <f>IF(Contents!$B$2=2,"Licence areas located in the transit zone","Лицензионные участки, расположенные в транзитной зоне")</f>
        <v>Лицензионные участки, расположенные в транзитной зоне</v>
      </c>
      <c r="C198" s="12" t="str">
        <f>IF(Contents!$B$2=2,"unit","ед.")</f>
        <v>ед.</v>
      </c>
      <c r="D198" s="168" t="s">
        <v>185</v>
      </c>
      <c r="E198" s="168" t="s">
        <v>185</v>
      </c>
      <c r="F198" s="168" t="s">
        <v>185</v>
      </c>
      <c r="G198" s="168" t="s">
        <v>185</v>
      </c>
      <c r="H198" s="168" t="s">
        <v>185</v>
      </c>
      <c r="I198" s="222">
        <v>0</v>
      </c>
      <c r="J198" s="213">
        <v>0</v>
      </c>
      <c r="K198" s="222">
        <v>8</v>
      </c>
      <c r="L198" s="222">
        <v>8</v>
      </c>
      <c r="M198" s="222">
        <v>8</v>
      </c>
      <c r="N198" s="200">
        <v>8</v>
      </c>
      <c r="O198" s="22"/>
      <c r="P198" s="558" t="str">
        <f>IF(Contents!$B$2=2,"Yes","Да")</f>
        <v>Да</v>
      </c>
      <c r="Q198" s="29"/>
      <c r="R198" s="465"/>
      <c r="S198" s="465" t="s">
        <v>87</v>
      </c>
      <c r="T198" s="589"/>
      <c r="U198" s="589"/>
      <c r="V198" s="589"/>
      <c r="W198" s="558">
        <v>3</v>
      </c>
      <c r="X198" s="589"/>
      <c r="Y198" s="589"/>
      <c r="Z198" s="785"/>
      <c r="AA198" s="785"/>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c r="HS198" s="14"/>
      <c r="HT198" s="14"/>
      <c r="HU198" s="14"/>
      <c r="HV198" s="14"/>
      <c r="HW198" s="14"/>
      <c r="HX198" s="14"/>
      <c r="HY198" s="14"/>
      <c r="HZ198" s="14"/>
      <c r="IA198" s="14"/>
      <c r="IB198" s="14"/>
      <c r="IC198" s="14"/>
      <c r="ID198" s="14"/>
      <c r="IE198" s="14"/>
      <c r="IF198" s="14"/>
      <c r="IG198" s="14"/>
      <c r="IH198" s="14"/>
      <c r="II198" s="14"/>
      <c r="IJ198" s="14"/>
      <c r="IK198" s="14"/>
      <c r="IL198" s="14"/>
      <c r="IM198" s="14"/>
      <c r="IN198" s="14"/>
      <c r="IO198" s="14"/>
      <c r="IP198" s="14"/>
    </row>
    <row r="199" spans="1:250" s="1" customFormat="1" ht="24" customHeight="1">
      <c r="A199" s="851"/>
      <c r="B199" s="232" t="str">
        <f>IF(Contents!$B$2=2,"Licence areas located on land","Лицензионные участки, расположенные на суше")</f>
        <v>Лицензионные участки, расположенные на суше</v>
      </c>
      <c r="C199" s="12" t="str">
        <f>IF(Contents!$B$2=2,"unit","ед.")</f>
        <v>ед.</v>
      </c>
      <c r="D199" s="168" t="s">
        <v>185</v>
      </c>
      <c r="E199" s="168" t="s">
        <v>185</v>
      </c>
      <c r="F199" s="168" t="s">
        <v>185</v>
      </c>
      <c r="G199" s="168" t="s">
        <v>185</v>
      </c>
      <c r="H199" s="168" t="s">
        <v>185</v>
      </c>
      <c r="I199" s="222">
        <v>70</v>
      </c>
      <c r="J199" s="222">
        <v>76</v>
      </c>
      <c r="K199" s="222">
        <v>71</v>
      </c>
      <c r="L199" s="222">
        <v>71</v>
      </c>
      <c r="M199" s="222">
        <v>70</v>
      </c>
      <c r="N199" s="200">
        <v>70</v>
      </c>
      <c r="O199" s="22"/>
      <c r="P199" s="558" t="str">
        <f>IF(Contents!$B$2=2,"Yes","Да")</f>
        <v>Да</v>
      </c>
      <c r="Q199" s="29"/>
      <c r="R199" s="465"/>
      <c r="S199" s="465" t="s">
        <v>88</v>
      </c>
      <c r="T199" s="589"/>
      <c r="U199" s="589"/>
      <c r="V199" s="589"/>
      <c r="W199" s="558">
        <v>3</v>
      </c>
      <c r="X199" s="589"/>
      <c r="Y199" s="589"/>
      <c r="Z199" s="785"/>
      <c r="AA199" s="785"/>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4"/>
      <c r="HD199" s="14"/>
      <c r="HE199" s="14"/>
      <c r="HF199" s="14"/>
      <c r="HG199" s="14"/>
      <c r="HH199" s="14"/>
      <c r="HI199" s="14"/>
      <c r="HJ199" s="14"/>
      <c r="HK199" s="14"/>
      <c r="HL199" s="14"/>
      <c r="HM199" s="14"/>
      <c r="HN199" s="14"/>
      <c r="HO199" s="14"/>
      <c r="HP199" s="14"/>
      <c r="HQ199" s="14"/>
      <c r="HR199" s="14"/>
      <c r="HS199" s="14"/>
      <c r="HT199" s="14"/>
      <c r="HU199" s="14"/>
      <c r="HV199" s="14"/>
      <c r="HW199" s="14"/>
      <c r="HX199" s="14"/>
      <c r="HY199" s="14"/>
      <c r="HZ199" s="14"/>
      <c r="IA199" s="14"/>
      <c r="IB199" s="14"/>
      <c r="IC199" s="14"/>
      <c r="ID199" s="14"/>
      <c r="IE199" s="14"/>
      <c r="IF199" s="14"/>
      <c r="IG199" s="14"/>
      <c r="IH199" s="14"/>
      <c r="II199" s="14"/>
      <c r="IJ199" s="14"/>
      <c r="IK199" s="14"/>
      <c r="IL199" s="14"/>
      <c r="IM199" s="14"/>
      <c r="IN199" s="14"/>
      <c r="IO199" s="14"/>
      <c r="IP199" s="14"/>
    </row>
    <row r="200" spans="1:250" s="1" customFormat="1">
      <c r="A200" s="851"/>
      <c r="B200" s="190"/>
      <c r="C200" s="180"/>
      <c r="D200" s="213"/>
      <c r="E200" s="213"/>
      <c r="F200" s="213"/>
      <c r="G200" s="213"/>
      <c r="H200" s="213"/>
      <c r="I200" s="558"/>
      <c r="J200" s="37"/>
      <c r="K200" s="558"/>
      <c r="L200" s="557"/>
      <c r="M200" s="557"/>
      <c r="N200" s="557"/>
      <c r="O200" s="22"/>
      <c r="P200" s="589"/>
      <c r="Q200" s="22"/>
      <c r="R200" s="465"/>
      <c r="S200" s="465"/>
      <c r="T200" s="589"/>
      <c r="U200" s="589"/>
      <c r="V200" s="589"/>
      <c r="W200" s="589"/>
      <c r="X200" s="589"/>
      <c r="Y200" s="589"/>
      <c r="Z200" s="785"/>
      <c r="AA200" s="785"/>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14"/>
      <c r="HE200" s="14"/>
      <c r="HF200" s="14"/>
      <c r="HG200" s="14"/>
      <c r="HH200" s="14"/>
      <c r="HI200" s="14"/>
      <c r="HJ200" s="14"/>
      <c r="HK200" s="14"/>
      <c r="HL200" s="14"/>
      <c r="HM200" s="14"/>
      <c r="HN200" s="14"/>
      <c r="HO200" s="14"/>
      <c r="HP200" s="14"/>
      <c r="HQ200" s="14"/>
      <c r="HR200" s="14"/>
      <c r="HS200" s="14"/>
      <c r="HT200" s="14"/>
      <c r="HU200" s="14"/>
      <c r="HV200" s="14"/>
      <c r="HW200" s="14"/>
      <c r="HX200" s="14"/>
      <c r="HY200" s="14"/>
      <c r="HZ200" s="14"/>
      <c r="IA200" s="14"/>
      <c r="IB200" s="14"/>
      <c r="IC200" s="14"/>
      <c r="ID200" s="14"/>
      <c r="IE200" s="14"/>
      <c r="IF200" s="14"/>
      <c r="IG200" s="14"/>
      <c r="IH200" s="14"/>
      <c r="II200" s="14"/>
      <c r="IJ200" s="14"/>
      <c r="IK200" s="14"/>
      <c r="IL200" s="14"/>
      <c r="IM200" s="14"/>
      <c r="IN200" s="14"/>
      <c r="IO200" s="14"/>
      <c r="IP200" s="14"/>
    </row>
    <row r="201" spans="1:250" s="1" customFormat="1">
      <c r="A201" s="851"/>
      <c r="B201" s="25" t="str">
        <f>IF(Contents!$B$2=2,"Notes:","Примечания:")</f>
        <v>Примечания:</v>
      </c>
      <c r="C201" s="180"/>
      <c r="D201" s="543"/>
      <c r="E201" s="543"/>
      <c r="F201" s="543"/>
      <c r="G201" s="543"/>
      <c r="H201" s="37"/>
      <c r="I201" s="558"/>
      <c r="J201" s="37"/>
      <c r="K201" s="558"/>
      <c r="L201" s="557"/>
      <c r="M201" s="557"/>
      <c r="N201" s="557"/>
      <c r="O201" s="22"/>
      <c r="P201" s="589"/>
      <c r="Q201" s="22"/>
      <c r="R201" s="465"/>
      <c r="S201" s="465"/>
      <c r="T201" s="589"/>
      <c r="U201" s="589"/>
      <c r="V201" s="589"/>
      <c r="W201" s="589"/>
      <c r="X201" s="589"/>
      <c r="Y201" s="589"/>
      <c r="Z201" s="785"/>
      <c r="AA201" s="785"/>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14"/>
      <c r="HE201" s="14"/>
      <c r="HF201" s="14"/>
      <c r="HG201" s="14"/>
      <c r="HH201" s="14"/>
      <c r="HI201" s="14"/>
      <c r="HJ201" s="14"/>
      <c r="HK201" s="14"/>
      <c r="HL201" s="14"/>
      <c r="HM201" s="14"/>
      <c r="HN201" s="14"/>
      <c r="HO201" s="14"/>
      <c r="HP201" s="14"/>
      <c r="HQ201" s="14"/>
      <c r="HR201" s="14"/>
      <c r="HS201" s="14"/>
      <c r="HT201" s="14"/>
      <c r="HU201" s="14"/>
      <c r="HV201" s="14"/>
      <c r="HW201" s="14"/>
      <c r="HX201" s="14"/>
      <c r="HY201" s="14"/>
      <c r="HZ201" s="14"/>
      <c r="IA201" s="14"/>
      <c r="IB201" s="14"/>
      <c r="IC201" s="14"/>
      <c r="ID201" s="14"/>
      <c r="IE201" s="14"/>
      <c r="IF201" s="14"/>
      <c r="IG201" s="14"/>
      <c r="IH201" s="14"/>
      <c r="II201" s="14"/>
      <c r="IJ201" s="14"/>
      <c r="IK201" s="14"/>
      <c r="IL201" s="14"/>
      <c r="IM201" s="14"/>
      <c r="IN201" s="14"/>
      <c r="IO201" s="14"/>
      <c r="IP201" s="14"/>
    </row>
    <row r="202" spans="1:250" s="1" customFormat="1">
      <c r="A202" s="851"/>
      <c r="B202" s="26" t="str">
        <f>IF(Contents!$B$2=2,"The transit zone includes transit shallow water with sea depths of 0–20 m and a strip of adjacent coast. The width of the transit shallow water zone of the seas of Russia, including the Arctic, varies from the first kilometers to 100–200 km.","Транзитная зона включает транзитное мелководье с глубинами моря 0–20 м и полосу сопредельного побережья. Ширина зоны транзитного мелководья морей России, в т. ч. арктического, меняется от первых километров до 100–200 км.")</f>
        <v>Транзитная зона включает транзитное мелководье с глубинами моря 0–20 м и полосу сопредельного побережья. Ширина зоны транзитного мелководья морей России, в т. ч. арктического, меняется от первых километров до 100–200 км.</v>
      </c>
      <c r="C202" s="180"/>
      <c r="D202" s="543"/>
      <c r="E202" s="543"/>
      <c r="F202" s="543"/>
      <c r="G202" s="543"/>
      <c r="H202" s="37"/>
      <c r="I202" s="558"/>
      <c r="J202" s="37"/>
      <c r="K202" s="558"/>
      <c r="L202" s="557"/>
      <c r="M202" s="557"/>
      <c r="N202" s="557"/>
      <c r="O202" s="22"/>
      <c r="P202" s="589"/>
      <c r="Q202" s="22"/>
      <c r="R202" s="465"/>
      <c r="S202" s="465"/>
      <c r="T202" s="589"/>
      <c r="U202" s="589"/>
      <c r="V202" s="589"/>
      <c r="W202" s="589"/>
      <c r="X202" s="589"/>
      <c r="Y202" s="589"/>
      <c r="Z202" s="785"/>
      <c r="AA202" s="785"/>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c r="HH202" s="14"/>
      <c r="HI202" s="14"/>
      <c r="HJ202" s="14"/>
      <c r="HK202" s="14"/>
      <c r="HL202" s="14"/>
      <c r="HM202" s="14"/>
      <c r="HN202" s="14"/>
      <c r="HO202" s="14"/>
      <c r="HP202" s="14"/>
      <c r="HQ202" s="14"/>
      <c r="HR202" s="14"/>
      <c r="HS202" s="14"/>
      <c r="HT202" s="14"/>
      <c r="HU202" s="14"/>
      <c r="HV202" s="14"/>
      <c r="HW202" s="14"/>
      <c r="HX202" s="14"/>
      <c r="HY202" s="14"/>
      <c r="HZ202" s="14"/>
      <c r="IA202" s="14"/>
      <c r="IB202" s="14"/>
      <c r="IC202" s="14"/>
      <c r="ID202" s="14"/>
      <c r="IE202" s="14"/>
      <c r="IF202" s="14"/>
      <c r="IG202" s="14"/>
      <c r="IH202" s="14"/>
      <c r="II202" s="14"/>
      <c r="IJ202" s="14"/>
      <c r="IK202" s="14"/>
      <c r="IL202" s="14"/>
      <c r="IM202" s="14"/>
      <c r="IN202" s="14"/>
      <c r="IO202" s="14"/>
      <c r="IP202" s="14"/>
    </row>
    <row r="203" spans="1:250" s="1" customFormat="1">
      <c r="A203" s="851"/>
      <c r="B203" s="30"/>
      <c r="C203" s="31"/>
      <c r="D203" s="562"/>
      <c r="E203" s="562"/>
      <c r="F203" s="562"/>
      <c r="G203" s="562"/>
      <c r="H203" s="562"/>
      <c r="I203" s="563"/>
      <c r="J203" s="562"/>
      <c r="K203" s="562"/>
      <c r="L203" s="562"/>
      <c r="M203" s="562"/>
      <c r="N203" s="562"/>
      <c r="O203" s="32"/>
      <c r="P203" s="592"/>
      <c r="Q203" s="32"/>
      <c r="R203" s="592"/>
      <c r="S203" s="592"/>
      <c r="T203" s="592"/>
      <c r="U203" s="592"/>
      <c r="V203" s="592"/>
      <c r="W203" s="592"/>
      <c r="X203" s="592"/>
      <c r="Y203" s="592"/>
      <c r="Z203" s="785"/>
      <c r="AA203" s="785"/>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c r="HS203" s="14"/>
      <c r="HT203" s="14"/>
      <c r="HU203" s="14"/>
      <c r="HV203" s="14"/>
      <c r="HW203" s="14"/>
      <c r="HX203" s="14"/>
      <c r="HY203" s="14"/>
      <c r="HZ203" s="14"/>
      <c r="IA203" s="14"/>
      <c r="IB203" s="14"/>
      <c r="IC203" s="14"/>
      <c r="ID203" s="14"/>
      <c r="IE203" s="14"/>
      <c r="IF203" s="14"/>
      <c r="IG203" s="14"/>
      <c r="IH203" s="14"/>
      <c r="II203" s="14"/>
      <c r="IJ203" s="14"/>
      <c r="IK203" s="14"/>
      <c r="IL203" s="14"/>
      <c r="IM203" s="14"/>
      <c r="IN203" s="14"/>
      <c r="IO203" s="14"/>
      <c r="IP203" s="14"/>
    </row>
    <row r="204" spans="1:250" s="1" customFormat="1">
      <c r="A204" s="851"/>
      <c r="B204" s="33"/>
      <c r="C204" s="15"/>
      <c r="D204" s="16"/>
      <c r="E204" s="16"/>
      <c r="F204" s="16"/>
      <c r="G204" s="16"/>
      <c r="H204" s="16"/>
      <c r="I204" s="150"/>
      <c r="J204" s="16"/>
      <c r="K204" s="16"/>
      <c r="L204" s="16"/>
      <c r="M204" s="16"/>
      <c r="N204" s="16"/>
      <c r="O204" s="16"/>
      <c r="P204" s="589"/>
      <c r="Q204" s="16"/>
      <c r="R204" s="589"/>
      <c r="S204" s="589"/>
      <c r="T204" s="589"/>
      <c r="U204" s="589"/>
      <c r="V204" s="589"/>
      <c r="W204" s="589"/>
      <c r="X204" s="589"/>
      <c r="Y204" s="589"/>
      <c r="Z204" s="785"/>
      <c r="AA204" s="785"/>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c r="HS204" s="14"/>
      <c r="HT204" s="14"/>
      <c r="HU204" s="14"/>
      <c r="HV204" s="14"/>
      <c r="HW204" s="14"/>
      <c r="HX204" s="14"/>
      <c r="HY204" s="14"/>
      <c r="HZ204" s="14"/>
      <c r="IA204" s="14"/>
      <c r="IB204" s="14"/>
      <c r="IC204" s="14"/>
      <c r="ID204" s="14"/>
      <c r="IE204" s="14"/>
      <c r="IF204" s="14"/>
      <c r="IG204" s="14"/>
      <c r="IH204" s="14"/>
      <c r="II204" s="14"/>
      <c r="IJ204" s="14"/>
      <c r="IK204" s="14"/>
      <c r="IL204" s="14"/>
      <c r="IM204" s="14"/>
      <c r="IN204" s="14"/>
      <c r="IO204" s="14"/>
      <c r="IP204" s="14"/>
    </row>
    <row r="205" spans="1:250" s="1" customFormat="1" ht="28.5" customHeight="1">
      <c r="A205" s="851"/>
      <c r="B205" s="141" t="str">
        <f>IF(Contents!$B$2=2,"For more information, see the Sustainable Development Reports for 2020-2025 (the Climate Change chapter).","Для получения дополнительной информации см. Отчеты об устойчивом развитии за 2020-2025 гг. (глава «Изменение климата»).")</f>
        <v>Для получения дополнительной информации см. Отчеты об устойчивом развитии за 2020-2025 гг. (глава «Изменение климата»).</v>
      </c>
      <c r="C205" s="15"/>
      <c r="D205" s="16"/>
      <c r="E205" s="16"/>
      <c r="F205" s="16"/>
      <c r="G205" s="16"/>
      <c r="H205" s="16"/>
      <c r="I205" s="150"/>
      <c r="J205" s="16"/>
      <c r="K205" s="16"/>
      <c r="L205" s="16"/>
      <c r="M205" s="16"/>
      <c r="N205" s="16"/>
      <c r="O205" s="16"/>
      <c r="P205" s="589"/>
      <c r="Q205" s="16"/>
      <c r="R205" s="589"/>
      <c r="S205" s="589"/>
      <c r="T205" s="589"/>
      <c r="U205" s="589"/>
      <c r="V205" s="589"/>
      <c r="W205" s="589"/>
      <c r="X205" s="589"/>
      <c r="Y205" s="589"/>
      <c r="Z205" s="785"/>
      <c r="AA205" s="785"/>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c r="HS205" s="14"/>
      <c r="HT205" s="14"/>
      <c r="HU205" s="14"/>
      <c r="HV205" s="14"/>
      <c r="HW205" s="14"/>
      <c r="HX205" s="14"/>
      <c r="HY205" s="14"/>
      <c r="HZ205" s="14"/>
      <c r="IA205" s="14"/>
      <c r="IB205" s="14"/>
      <c r="IC205" s="14"/>
      <c r="ID205" s="14"/>
      <c r="IE205" s="14"/>
      <c r="IF205" s="14"/>
      <c r="IG205" s="14"/>
      <c r="IH205" s="14"/>
      <c r="II205" s="14"/>
      <c r="IJ205" s="14"/>
      <c r="IK205" s="14"/>
      <c r="IL205" s="14"/>
      <c r="IM205" s="14"/>
      <c r="IN205" s="14"/>
      <c r="IO205" s="14"/>
      <c r="IP205" s="14"/>
    </row>
    <row r="206" spans="1:250" s="1" customFormat="1">
      <c r="A206" s="851"/>
      <c r="B206" s="34"/>
      <c r="C206" s="15"/>
      <c r="D206" s="16"/>
      <c r="E206" s="16"/>
      <c r="F206" s="16"/>
      <c r="G206" s="16"/>
      <c r="H206" s="16"/>
      <c r="I206" s="150"/>
      <c r="J206" s="16"/>
      <c r="K206" s="16"/>
      <c r="L206" s="16"/>
      <c r="M206" s="16"/>
      <c r="N206" s="16"/>
      <c r="O206" s="16"/>
      <c r="P206" s="589"/>
      <c r="Q206" s="16"/>
      <c r="R206" s="589"/>
      <c r="S206" s="589"/>
      <c r="T206" s="589"/>
      <c r="U206" s="589"/>
      <c r="V206" s="589"/>
      <c r="W206" s="589"/>
      <c r="X206" s="589"/>
      <c r="Y206" s="589"/>
      <c r="Z206" s="785"/>
      <c r="AA206" s="785"/>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c r="HS206" s="14"/>
      <c r="HT206" s="14"/>
      <c r="HU206" s="14"/>
      <c r="HV206" s="14"/>
      <c r="HW206" s="14"/>
      <c r="HX206" s="14"/>
      <c r="HY206" s="14"/>
      <c r="HZ206" s="14"/>
      <c r="IA206" s="14"/>
      <c r="IB206" s="14"/>
      <c r="IC206" s="14"/>
      <c r="ID206" s="14"/>
      <c r="IE206" s="14"/>
      <c r="IF206" s="14"/>
      <c r="IG206" s="14"/>
      <c r="IH206" s="14"/>
      <c r="II206" s="14"/>
      <c r="IJ206" s="14"/>
      <c r="IK206" s="14"/>
      <c r="IL206" s="14"/>
      <c r="IM206" s="14"/>
      <c r="IN206" s="14"/>
      <c r="IO206" s="14"/>
      <c r="IP206" s="14"/>
    </row>
    <row r="207" spans="1:250" s="1" customFormat="1">
      <c r="A207" s="851"/>
      <c r="B207" s="34"/>
      <c r="C207" s="15"/>
      <c r="D207" s="16"/>
      <c r="E207" s="16"/>
      <c r="F207" s="16"/>
      <c r="G207" s="16"/>
      <c r="H207" s="16"/>
      <c r="I207" s="150"/>
      <c r="J207" s="16"/>
      <c r="K207" s="16"/>
      <c r="L207" s="16"/>
      <c r="M207" s="16"/>
      <c r="N207" s="16"/>
      <c r="O207" s="16"/>
      <c r="P207" s="589"/>
      <c r="Q207" s="16"/>
      <c r="R207" s="589"/>
      <c r="S207" s="589"/>
      <c r="T207" s="589"/>
      <c r="U207" s="589"/>
      <c r="V207" s="589"/>
      <c r="W207" s="589"/>
      <c r="X207" s="589"/>
      <c r="Y207" s="589"/>
      <c r="Z207" s="785"/>
      <c r="AA207" s="785"/>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c r="HS207" s="14"/>
      <c r="HT207" s="14"/>
      <c r="HU207" s="14"/>
      <c r="HV207" s="14"/>
      <c r="HW207" s="14"/>
      <c r="HX207" s="14"/>
      <c r="HY207" s="14"/>
      <c r="HZ207" s="14"/>
      <c r="IA207" s="14"/>
      <c r="IB207" s="14"/>
      <c r="IC207" s="14"/>
      <c r="ID207" s="14"/>
      <c r="IE207" s="14"/>
      <c r="IF207" s="14"/>
      <c r="IG207" s="14"/>
      <c r="IH207" s="14"/>
      <c r="II207" s="14"/>
      <c r="IJ207" s="14"/>
      <c r="IK207" s="14"/>
      <c r="IL207" s="14"/>
      <c r="IM207" s="14"/>
      <c r="IN207" s="14"/>
      <c r="IO207" s="14"/>
      <c r="IP207" s="14"/>
    </row>
    <row r="208" spans="1:250" s="1" customFormat="1">
      <c r="A208" s="851"/>
      <c r="B208" s="34"/>
      <c r="C208" s="15"/>
      <c r="D208" s="16"/>
      <c r="E208" s="16"/>
      <c r="F208" s="16"/>
      <c r="G208" s="16"/>
      <c r="H208" s="16"/>
      <c r="I208" s="150"/>
      <c r="J208" s="16"/>
      <c r="K208" s="16"/>
      <c r="L208" s="16"/>
      <c r="M208" s="16"/>
      <c r="N208" s="16"/>
      <c r="O208" s="16"/>
      <c r="P208" s="589"/>
      <c r="Q208" s="16"/>
      <c r="R208" s="589"/>
      <c r="S208" s="589"/>
      <c r="T208" s="589"/>
      <c r="U208" s="589"/>
      <c r="V208" s="589"/>
      <c r="W208" s="589"/>
      <c r="X208" s="589"/>
      <c r="Y208" s="589"/>
      <c r="Z208" s="785"/>
      <c r="AA208" s="785"/>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c r="HS208" s="14"/>
      <c r="HT208" s="14"/>
      <c r="HU208" s="14"/>
      <c r="HV208" s="14"/>
      <c r="HW208" s="14"/>
      <c r="HX208" s="14"/>
      <c r="HY208" s="14"/>
      <c r="HZ208" s="14"/>
      <c r="IA208" s="14"/>
      <c r="IB208" s="14"/>
      <c r="IC208" s="14"/>
      <c r="ID208" s="14"/>
      <c r="IE208" s="14"/>
      <c r="IF208" s="14"/>
      <c r="IG208" s="14"/>
      <c r="IH208" s="14"/>
      <c r="II208" s="14"/>
      <c r="IJ208" s="14"/>
      <c r="IK208" s="14"/>
      <c r="IL208" s="14"/>
      <c r="IM208" s="14"/>
      <c r="IN208" s="14"/>
      <c r="IO208" s="14"/>
      <c r="IP208" s="14"/>
    </row>
    <row r="209" spans="1:250" s="1" customFormat="1">
      <c r="A209" s="851"/>
      <c r="B209" s="34"/>
      <c r="C209" s="15"/>
      <c r="D209" s="16"/>
      <c r="E209" s="16"/>
      <c r="F209" s="16"/>
      <c r="G209" s="16"/>
      <c r="H209" s="16"/>
      <c r="I209" s="150"/>
      <c r="J209" s="16"/>
      <c r="K209" s="16"/>
      <c r="L209" s="16"/>
      <c r="M209" s="16"/>
      <c r="N209" s="16"/>
      <c r="O209" s="16"/>
      <c r="P209" s="589"/>
      <c r="Q209" s="16"/>
      <c r="R209" s="589"/>
      <c r="S209" s="589"/>
      <c r="T209" s="589"/>
      <c r="U209" s="589"/>
      <c r="V209" s="589"/>
      <c r="W209" s="589"/>
      <c r="X209" s="589"/>
      <c r="Y209" s="589"/>
      <c r="Z209" s="785"/>
      <c r="AA209" s="785"/>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c r="HS209" s="14"/>
      <c r="HT209" s="14"/>
      <c r="HU209" s="14"/>
      <c r="HV209" s="14"/>
      <c r="HW209" s="14"/>
      <c r="HX209" s="14"/>
      <c r="HY209" s="14"/>
      <c r="HZ209" s="14"/>
      <c r="IA209" s="14"/>
      <c r="IB209" s="14"/>
      <c r="IC209" s="14"/>
      <c r="ID209" s="14"/>
      <c r="IE209" s="14"/>
      <c r="IF209" s="14"/>
      <c r="IG209" s="14"/>
      <c r="IH209" s="14"/>
      <c r="II209" s="14"/>
      <c r="IJ209" s="14"/>
      <c r="IK209" s="14"/>
      <c r="IL209" s="14"/>
      <c r="IM209" s="14"/>
      <c r="IN209" s="14"/>
      <c r="IO209" s="14"/>
      <c r="IP209" s="14"/>
    </row>
    <row r="210" spans="1:250" s="1" customFormat="1">
      <c r="A210" s="851"/>
      <c r="B210" s="14"/>
      <c r="C210" s="15"/>
      <c r="D210" s="16"/>
      <c r="E210" s="16"/>
      <c r="F210" s="16"/>
      <c r="G210" s="16"/>
      <c r="H210" s="16"/>
      <c r="I210" s="150"/>
      <c r="J210" s="16"/>
      <c r="K210" s="16"/>
      <c r="L210" s="16"/>
      <c r="M210" s="16"/>
      <c r="N210" s="16"/>
      <c r="O210" s="16"/>
      <c r="P210" s="589"/>
      <c r="Q210" s="16"/>
      <c r="R210" s="589"/>
      <c r="S210" s="589"/>
      <c r="T210" s="589"/>
      <c r="U210" s="589"/>
      <c r="V210" s="589"/>
      <c r="W210" s="589"/>
      <c r="X210" s="589"/>
      <c r="Y210" s="589"/>
      <c r="Z210" s="785"/>
      <c r="AA210" s="785"/>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c r="HH210" s="14"/>
      <c r="HI210" s="14"/>
      <c r="HJ210" s="14"/>
      <c r="HK210" s="14"/>
      <c r="HL210" s="14"/>
      <c r="HM210" s="14"/>
      <c r="HN210" s="14"/>
      <c r="HO210" s="14"/>
      <c r="HP210" s="14"/>
      <c r="HQ210" s="14"/>
      <c r="HR210" s="14"/>
      <c r="HS210" s="14"/>
      <c r="HT210" s="14"/>
      <c r="HU210" s="14"/>
      <c r="HV210" s="14"/>
      <c r="HW210" s="14"/>
      <c r="HX210" s="14"/>
      <c r="HY210" s="14"/>
      <c r="HZ210" s="14"/>
      <c r="IA210" s="14"/>
      <c r="IB210" s="14"/>
      <c r="IC210" s="14"/>
      <c r="ID210" s="14"/>
      <c r="IE210" s="14"/>
      <c r="IF210" s="14"/>
      <c r="IG210" s="14"/>
      <c r="IH210" s="14"/>
      <c r="II210" s="14"/>
      <c r="IJ210" s="14"/>
      <c r="IK210" s="14"/>
      <c r="IL210" s="14"/>
      <c r="IM210" s="14"/>
      <c r="IN210" s="14"/>
      <c r="IO210" s="14"/>
      <c r="IP210" s="14"/>
    </row>
    <row r="211" spans="1:250" s="1" customFormat="1">
      <c r="A211" s="851"/>
      <c r="B211" s="14"/>
      <c r="C211" s="15"/>
      <c r="D211" s="16"/>
      <c r="E211" s="16"/>
      <c r="F211" s="16"/>
      <c r="G211" s="16"/>
      <c r="H211" s="16"/>
      <c r="I211" s="150"/>
      <c r="J211" s="16"/>
      <c r="K211" s="16"/>
      <c r="L211" s="16"/>
      <c r="M211" s="16"/>
      <c r="N211" s="16"/>
      <c r="O211" s="16"/>
      <c r="P211" s="589"/>
      <c r="Q211" s="16"/>
      <c r="R211" s="589"/>
      <c r="S211" s="589"/>
      <c r="T211" s="589"/>
      <c r="U211" s="589"/>
      <c r="V211" s="589"/>
      <c r="W211" s="589"/>
      <c r="X211" s="589"/>
      <c r="Y211" s="589"/>
      <c r="Z211" s="785"/>
      <c r="AA211" s="785"/>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4"/>
      <c r="HD211" s="14"/>
      <c r="HE211" s="14"/>
      <c r="HF211" s="14"/>
      <c r="HG211" s="14"/>
      <c r="HH211" s="14"/>
      <c r="HI211" s="14"/>
      <c r="HJ211" s="14"/>
      <c r="HK211" s="14"/>
      <c r="HL211" s="14"/>
      <c r="HM211" s="14"/>
      <c r="HN211" s="14"/>
      <c r="HO211" s="14"/>
      <c r="HP211" s="14"/>
      <c r="HQ211" s="14"/>
      <c r="HR211" s="14"/>
      <c r="HS211" s="14"/>
      <c r="HT211" s="14"/>
      <c r="HU211" s="14"/>
      <c r="HV211" s="14"/>
      <c r="HW211" s="14"/>
      <c r="HX211" s="14"/>
      <c r="HY211" s="14"/>
      <c r="HZ211" s="14"/>
      <c r="IA211" s="14"/>
      <c r="IB211" s="14"/>
      <c r="IC211" s="14"/>
      <c r="ID211" s="14"/>
      <c r="IE211" s="14"/>
      <c r="IF211" s="14"/>
      <c r="IG211" s="14"/>
      <c r="IH211" s="14"/>
      <c r="II211" s="14"/>
      <c r="IJ211" s="14"/>
      <c r="IK211" s="14"/>
      <c r="IL211" s="14"/>
      <c r="IM211" s="14"/>
      <c r="IN211" s="14"/>
      <c r="IO211" s="14"/>
      <c r="IP211" s="14"/>
    </row>
  </sheetData>
  <hyperlinks>
    <hyperlink ref="B3" location="Climate!B8" display="Climate!B8"/>
    <hyperlink ref="C3" location="Climate!B153" display="Climate!B153"/>
    <hyperlink ref="B205" r:id="rId1" display="https://www.novatek.ru/en/development/archive/"/>
    <hyperlink ref="B1" location="Contents!A1" display="← Back to Contents"/>
  </hyperlinks>
  <pageMargins left="0.7" right="0.7" top="0.75" bottom="0.75" header="0.3" footer="0.3"/>
  <pageSetup scale="16" orientation="portrait" r:id="rId2"/>
  <colBreaks count="1" manualBreakCount="1">
    <brk id="24"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R721"/>
  <sheetViews>
    <sheetView zoomScale="50" zoomScaleNormal="50" workbookViewId="0">
      <selection activeCell="P257" sqref="P257"/>
    </sheetView>
  </sheetViews>
  <sheetFormatPr defaultColWidth="9.140625" defaultRowHeight="18.75"/>
  <cols>
    <col min="1" max="1" width="11.28515625" style="251"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17.140625" style="253" customWidth="1"/>
    <col min="16" max="16" width="15.42578125" style="606" customWidth="1"/>
    <col min="17" max="17" width="17.140625" style="253" customWidth="1"/>
    <col min="18" max="20" width="20.42578125" style="606" customWidth="1"/>
    <col min="21" max="21" width="20.42578125" style="607" customWidth="1"/>
    <col min="22" max="22" width="5.42578125" style="606" customWidth="1"/>
    <col min="23" max="23" width="15.42578125" style="606" customWidth="1"/>
    <col min="24" max="25" width="5.42578125" style="606" customWidth="1"/>
    <col min="26" max="26" width="8.85546875" style="606" customWidth="1"/>
    <col min="27" max="27" width="7" style="14" customWidth="1"/>
    <col min="28" max="16384" width="9.140625" style="14"/>
  </cols>
  <sheetData>
    <row r="1" spans="1:252" ht="80.099999999999994" customHeight="1">
      <c r="B1" s="487" t="s">
        <v>168</v>
      </c>
      <c r="G1" s="254"/>
    </row>
    <row r="2" spans="1:252">
      <c r="A2" s="256"/>
      <c r="B2" s="18" t="str">
        <f>IF(Contents!$B$2=2,"CONTENTS","СОДЕРЖАНИЕ")</f>
        <v>СОДЕРЖАНИЕ</v>
      </c>
      <c r="C2" s="44"/>
      <c r="D2" s="257"/>
      <c r="E2" s="257"/>
      <c r="F2" s="257"/>
      <c r="G2" s="258"/>
      <c r="H2" s="258"/>
      <c r="I2" s="258"/>
      <c r="J2" s="257"/>
      <c r="K2" s="257"/>
      <c r="L2" s="257"/>
      <c r="M2" s="257"/>
      <c r="N2" s="257"/>
      <c r="P2" s="608"/>
      <c r="R2" s="608"/>
      <c r="S2" s="608"/>
      <c r="T2" s="608"/>
      <c r="U2" s="609"/>
      <c r="V2" s="56"/>
      <c r="W2" s="608"/>
      <c r="X2" s="56"/>
    </row>
    <row r="3" spans="1:252">
      <c r="A3" s="256"/>
      <c r="B3" s="575" t="str">
        <f>IF(Contents!$B$2=2,"Environmental management","Управление охраной окружающей среды")</f>
        <v>Управление охраной окружающей среды</v>
      </c>
      <c r="C3" s="575" t="str">
        <f>IF(Contents!$B$2=2,"Emissions of pollutants","Выбросы загрязняющих веществ")</f>
        <v>Выбросы загрязняющих веществ</v>
      </c>
      <c r="D3" s="575"/>
      <c r="F3" s="580" t="str">
        <f>IF(Contents!$B$2=2,"Waste","Отходы")</f>
        <v>Отходы</v>
      </c>
      <c r="G3" s="580" t="str">
        <f>IF(Contents!$B$2=2,"Water use and discharge","Водопользование и водоотведение")</f>
        <v>Водопользование и водоотведение</v>
      </c>
      <c r="H3" s="575"/>
      <c r="I3" s="575"/>
      <c r="J3" s="580" t="str">
        <f>IF(Contents!$B$2=2,"Biodiversity conservation","Сохранение биоразнообразия")</f>
        <v>Сохранение биоразнообразия</v>
      </c>
      <c r="K3" s="576"/>
      <c r="N3" s="576"/>
      <c r="S3" s="603"/>
      <c r="T3" s="603"/>
      <c r="U3" s="604"/>
      <c r="V3" s="603"/>
      <c r="W3" s="603"/>
      <c r="X3" s="603"/>
    </row>
    <row r="4" spans="1:252" s="1" customFormat="1">
      <c r="A4" s="256"/>
      <c r="B4" s="575" t="str">
        <f>IF(Contents!$B$2=2,"Compliance with environmental laws","Cоблюдение природоохранного законодательства")</f>
        <v>Cоблюдение природоохранного законодательства</v>
      </c>
      <c r="C4" s="577"/>
      <c r="D4" s="578"/>
      <c r="F4" s="575"/>
      <c r="G4" s="575"/>
      <c r="H4" s="575"/>
      <c r="I4" s="575"/>
      <c r="J4" s="580" t="str">
        <f>IF(Contents!$B$2=2,"Land use and reclamation","Использование и рекультивация земель")</f>
        <v>Использование и рекультивация земель</v>
      </c>
      <c r="K4" s="577"/>
      <c r="L4" s="577"/>
      <c r="M4" s="577"/>
      <c r="N4" s="577"/>
      <c r="P4" s="606"/>
      <c r="R4" s="606"/>
      <c r="S4" s="603"/>
      <c r="T4" s="603"/>
      <c r="U4" s="604"/>
      <c r="V4" s="603"/>
      <c r="W4" s="603"/>
      <c r="X4" s="603"/>
      <c r="Y4" s="606"/>
      <c r="Z4" s="606"/>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row>
    <row r="5" spans="1:252" s="1" customFormat="1" ht="33.950000000000003" customHeight="1">
      <c r="A5" s="256"/>
      <c r="B5" s="580" t="str">
        <f>IF(Contents!$B$2=2,"Environmental expenses","Расходы на охрану окружающей среды")</f>
        <v>Расходы на охрану окружающей среды</v>
      </c>
      <c r="C5" s="116"/>
      <c r="D5" s="116"/>
      <c r="E5" s="579"/>
      <c r="F5" s="575"/>
      <c r="G5" s="575"/>
      <c r="H5" s="575"/>
      <c r="I5" s="575"/>
      <c r="J5" s="575"/>
      <c r="K5" s="116"/>
      <c r="L5" s="581"/>
      <c r="M5" s="581"/>
      <c r="N5" s="484"/>
      <c r="O5" s="259"/>
      <c r="P5" s="606"/>
      <c r="Q5" s="259"/>
      <c r="R5" s="603"/>
      <c r="S5" s="603"/>
      <c r="T5" s="603"/>
      <c r="U5" s="604"/>
      <c r="V5" s="603"/>
      <c r="W5" s="603"/>
      <c r="X5" s="603"/>
      <c r="Y5" s="606"/>
      <c r="Z5" s="606"/>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row>
    <row r="6" spans="1:252" ht="30" customHeight="1">
      <c r="A6" s="260"/>
      <c r="B6" s="261" t="str">
        <f>IF(Contents!$B$2=2,"Environment","Окружающая среда")</f>
        <v>Окружающая среда</v>
      </c>
      <c r="C6" s="262"/>
      <c r="D6" s="263"/>
      <c r="E6" s="264"/>
      <c r="F6" s="265"/>
      <c r="G6" s="265"/>
      <c r="H6" s="265"/>
      <c r="I6" s="266"/>
      <c r="J6" s="267"/>
      <c r="K6" s="267"/>
      <c r="L6" s="267"/>
      <c r="M6" s="267"/>
      <c r="N6" s="267"/>
      <c r="P6" s="610"/>
      <c r="R6" s="610"/>
      <c r="S6" s="610"/>
      <c r="T6" s="610"/>
      <c r="U6" s="611"/>
      <c r="V6" s="56"/>
      <c r="W6" s="610"/>
      <c r="X6" s="56"/>
    </row>
    <row r="7" spans="1:252" ht="54.95" customHeight="1">
      <c r="B7" s="268"/>
      <c r="C7" s="269"/>
      <c r="D7" s="270">
        <v>2015</v>
      </c>
      <c r="E7" s="270">
        <v>2016</v>
      </c>
      <c r="F7" s="270">
        <v>2017</v>
      </c>
      <c r="G7" s="271">
        <v>2018</v>
      </c>
      <c r="H7" s="271">
        <v>2019</v>
      </c>
      <c r="I7" s="271">
        <v>2020</v>
      </c>
      <c r="J7" s="270">
        <v>2021</v>
      </c>
      <c r="K7" s="270">
        <v>2022</v>
      </c>
      <c r="L7" s="270">
        <v>2023</v>
      </c>
      <c r="M7" s="270">
        <v>2024</v>
      </c>
      <c r="N7" s="270">
        <v>2025</v>
      </c>
      <c r="P7" s="586" t="str">
        <f>IF(Contents!$B$2=2,"Subject to external assurance in 2025","Внешний аудит в 2025 г.")</f>
        <v>Внешний аудит в 2025 г.</v>
      </c>
      <c r="Q7" s="930"/>
      <c r="R7" s="602" t="str">
        <f>IF(Contents!$B$2=2,"GRI Disclosure, including GRI 11: Oil and Gas Sector","Индексы Стандартов GRI, в т.ч. GRI 11: Oil and Gas Sector")</f>
        <v>Индексы Стандартов GRI, в т.ч. GRI 11: Oil and Gas Sector</v>
      </c>
      <c r="S7" s="602" t="str">
        <f>IF(Contents!$B$2=2,"Standards' Code SASB Oil &amp; Gas – Exploration &amp; Production 2023","Индексы Стандартов SASB Oil &amp; Gas – Exploration &amp; Production 2023")</f>
        <v>Индексы Стандартов SASB Oil &amp; Gas – Exploration &amp; Production 2023</v>
      </c>
      <c r="T7" s="602" t="str">
        <f>IF(Contents!$B$2=2,"Standards' indices IPIECA 2020","Индексы Стандартов IPIECA 2020")</f>
        <v>Индексы Стандартов IPIECA 2020</v>
      </c>
      <c r="U7" s="602" t="str">
        <f>IF(Contents!$B$2=2,"Indices of the Public Business Capital Standard","Индексы Стандарта общественного капитала бизнеса")</f>
        <v>Индексы Стандарта общественного капитала бизнеса</v>
      </c>
      <c r="V7" s="504"/>
      <c r="W7" s="586" t="str">
        <f>IF(Contents!$B$2=2,"Report scope","Границы отчетности")</f>
        <v>Границы отчетности</v>
      </c>
      <c r="X7" s="504"/>
      <c r="Y7" s="504"/>
      <c r="Z7" s="505"/>
    </row>
    <row r="8" spans="1:252" ht="20.100000000000001" customHeight="1">
      <c r="B8" s="272" t="str">
        <f>IF(Contents!$B$2=2,"Environmental management","Управление охраной окружающей среды")</f>
        <v>Управление охраной окружающей среды</v>
      </c>
      <c r="C8" s="272"/>
      <c r="D8" s="272"/>
      <c r="E8" s="272"/>
      <c r="F8" s="272"/>
      <c r="G8" s="272"/>
      <c r="H8" s="272"/>
      <c r="I8" s="272"/>
      <c r="J8" s="272"/>
      <c r="K8" s="272"/>
      <c r="L8" s="272"/>
      <c r="M8" s="272"/>
      <c r="N8" s="272"/>
      <c r="P8" s="56"/>
      <c r="R8" s="273"/>
      <c r="S8" s="273"/>
      <c r="T8" s="56"/>
      <c r="U8" s="60"/>
      <c r="V8" s="56"/>
      <c r="W8" s="56"/>
      <c r="X8" s="56"/>
      <c r="Y8" s="56"/>
    </row>
    <row r="9" spans="1:252">
      <c r="B9" s="274" t="str">
        <f>IF(Contents!$B$2=2,"Certification of enterprises for compliance with international standards","Сертификация предприятий на соответствие требованиям международных стандартов ")</f>
        <v xml:space="preserve">Сертификация предприятий на соответствие требованиям международных стандартов </v>
      </c>
      <c r="C9" s="42"/>
      <c r="D9" s="247"/>
      <c r="E9" s="247"/>
      <c r="F9" s="247"/>
      <c r="G9" s="247"/>
      <c r="H9" s="247"/>
      <c r="I9" s="275"/>
      <c r="J9" s="275"/>
      <c r="K9" s="275"/>
      <c r="L9" s="275"/>
      <c r="M9" s="275"/>
      <c r="N9" s="275"/>
      <c r="P9" s="926"/>
      <c r="R9" s="273"/>
      <c r="S9" s="273"/>
      <c r="T9" s="273"/>
      <c r="U9" s="273"/>
      <c r="V9" s="297"/>
      <c r="W9" s="297"/>
      <c r="X9" s="297"/>
      <c r="Y9" s="297"/>
      <c r="AA9" s="585"/>
    </row>
    <row r="10" spans="1:252">
      <c r="B10" s="276" t="str">
        <f>IF(Contents!$B$2=2,"Number of enterprises certified under ISO 14001:2015","Количество предприятий, сертифицированных по ISO 14001:2015")</f>
        <v>Количество предприятий, сертифицированных по ISO 14001:2015</v>
      </c>
      <c r="C10" s="12" t="str">
        <f>IF(Contents!$B$2=2,"unit","ед.")</f>
        <v>ед.</v>
      </c>
      <c r="D10" s="10" t="s">
        <v>185</v>
      </c>
      <c r="E10" s="10" t="s">
        <v>185</v>
      </c>
      <c r="F10" s="221">
        <v>7</v>
      </c>
      <c r="G10" s="205">
        <v>7</v>
      </c>
      <c r="H10" s="205">
        <v>9</v>
      </c>
      <c r="I10" s="205">
        <v>9</v>
      </c>
      <c r="J10" s="101">
        <v>11</v>
      </c>
      <c r="K10" s="101">
        <v>11</v>
      </c>
      <c r="L10" s="101">
        <v>11</v>
      </c>
      <c r="M10" s="101">
        <v>11</v>
      </c>
      <c r="N10" s="204">
        <v>11</v>
      </c>
      <c r="P10" s="277" t="str">
        <f>IF(Contents!$B$2=2,"Yes","Да")</f>
        <v>Да</v>
      </c>
      <c r="R10" s="612"/>
      <c r="S10" s="273"/>
      <c r="T10" s="277"/>
      <c r="U10" s="278"/>
      <c r="V10" s="56"/>
      <c r="W10" s="277">
        <v>2</v>
      </c>
      <c r="X10" s="56"/>
      <c r="AA10" s="585"/>
    </row>
    <row r="11" spans="1:252">
      <c r="B11" s="274" t="str">
        <f>IF(Contents!$B$2=2,"Environmental audits by supervisory authorities","Проверки надзорными органами по вопросам ООС")</f>
        <v>Проверки надзорными органами по вопросам ООС</v>
      </c>
      <c r="C11" s="42"/>
      <c r="D11" s="247"/>
      <c r="E11" s="247"/>
      <c r="F11" s="247"/>
      <c r="G11" s="247"/>
      <c r="H11" s="247"/>
      <c r="I11" s="275"/>
      <c r="J11" s="275"/>
      <c r="K11" s="275"/>
      <c r="L11" s="275"/>
      <c r="M11" s="275"/>
      <c r="N11" s="275"/>
      <c r="P11" s="926"/>
      <c r="R11" s="273"/>
      <c r="S11" s="273"/>
      <c r="T11" s="273"/>
      <c r="U11" s="273"/>
      <c r="V11" s="297"/>
      <c r="W11" s="297"/>
      <c r="X11" s="297"/>
      <c r="Y11" s="297"/>
      <c r="AA11" s="585"/>
    </row>
    <row r="12" spans="1:252" ht="36">
      <c r="B12" s="276" t="str">
        <f>IF(Contents!$B$2=2,"Number of inspections by supervisory authorities about environmental protection and sustainable use of natural resources","Количество проверок надзорными органами в области охраны окружающей среды и рационального природопользования")</f>
        <v>Количество проверок надзорными органами в области охраны окружающей среды и рационального природопользования</v>
      </c>
      <c r="C12" s="12" t="str">
        <f>IF(Contents!$B$2=2,"unit","ед.")</f>
        <v>ед.</v>
      </c>
      <c r="D12" s="10" t="s">
        <v>185</v>
      </c>
      <c r="E12" s="10" t="s">
        <v>185</v>
      </c>
      <c r="F12" s="10" t="s">
        <v>185</v>
      </c>
      <c r="G12" s="10" t="s">
        <v>185</v>
      </c>
      <c r="H12" s="74">
        <v>64</v>
      </c>
      <c r="I12" s="101">
        <v>108</v>
      </c>
      <c r="J12" s="101">
        <v>217</v>
      </c>
      <c r="K12" s="101">
        <v>346</v>
      </c>
      <c r="L12" s="101">
        <v>321</v>
      </c>
      <c r="M12" s="101">
        <v>290</v>
      </c>
      <c r="N12" s="204">
        <v>200</v>
      </c>
      <c r="P12" s="598" t="str">
        <f>IF(Contents!$B$2=2,"Yes","Да")</f>
        <v>Да</v>
      </c>
      <c r="R12" s="613"/>
      <c r="S12" s="277"/>
      <c r="T12" s="277"/>
      <c r="U12" s="278"/>
      <c r="V12" s="56"/>
      <c r="W12" s="277">
        <v>2</v>
      </c>
      <c r="X12" s="56"/>
      <c r="AA12" s="585"/>
    </row>
    <row r="13" spans="1:252">
      <c r="B13" s="274" t="str">
        <f>IF(Contents!$B$2=2,"Education in environmental management","Обучение по вопросам ООС")</f>
        <v>Обучение по вопросам ООС</v>
      </c>
      <c r="C13" s="42"/>
      <c r="D13" s="247"/>
      <c r="E13" s="247"/>
      <c r="F13" s="247"/>
      <c r="G13" s="247"/>
      <c r="H13" s="247"/>
      <c r="I13" s="275"/>
      <c r="J13" s="275"/>
      <c r="K13" s="275"/>
      <c r="L13" s="275"/>
      <c r="M13" s="275"/>
      <c r="N13" s="275"/>
      <c r="P13" s="926"/>
      <c r="R13" s="273"/>
      <c r="S13" s="273"/>
      <c r="T13" s="273"/>
      <c r="U13" s="273"/>
      <c r="V13" s="297"/>
      <c r="W13" s="297"/>
      <c r="X13" s="297"/>
      <c r="Y13" s="297"/>
      <c r="AA13" s="585"/>
    </row>
    <row r="14" spans="1:252">
      <c r="B14" s="218" t="str">
        <f>IF(Contents!$B$2=2,"Number of people trained in environmental management","Количество людей, прошедших обучение в области ООС")</f>
        <v>Количество людей, прошедших обучение в области ООС</v>
      </c>
      <c r="C14" s="12" t="str">
        <f>IF(Contents!$B$2=2,"people","человек")</f>
        <v>человек</v>
      </c>
      <c r="D14" s="10" t="s">
        <v>185</v>
      </c>
      <c r="E14" s="10" t="s">
        <v>185</v>
      </c>
      <c r="F14" s="74">
        <v>128</v>
      </c>
      <c r="G14" s="74">
        <v>257</v>
      </c>
      <c r="H14" s="74">
        <v>191</v>
      </c>
      <c r="I14" s="112">
        <v>196</v>
      </c>
      <c r="J14" s="191">
        <v>389</v>
      </c>
      <c r="K14" s="191">
        <v>407</v>
      </c>
      <c r="L14" s="191">
        <v>236</v>
      </c>
      <c r="M14" s="191">
        <v>726</v>
      </c>
      <c r="N14" s="279">
        <v>237</v>
      </c>
      <c r="P14" s="598"/>
      <c r="R14" s="277" t="s">
        <v>89</v>
      </c>
      <c r="S14" s="273"/>
      <c r="T14" s="614"/>
      <c r="U14" s="614"/>
      <c r="V14" s="56"/>
      <c r="W14" s="277">
        <v>2</v>
      </c>
      <c r="X14" s="277"/>
      <c r="AA14" s="585"/>
    </row>
    <row r="15" spans="1:252">
      <c r="B15" s="276"/>
      <c r="C15" s="12"/>
      <c r="D15" s="10"/>
      <c r="E15" s="10"/>
      <c r="F15" s="10"/>
      <c r="G15" s="10"/>
      <c r="H15" s="74"/>
      <c r="I15" s="101"/>
      <c r="J15" s="101"/>
      <c r="K15" s="101"/>
      <c r="L15" s="101"/>
      <c r="M15" s="101"/>
      <c r="N15" s="101"/>
      <c r="P15" s="598"/>
      <c r="R15" s="613"/>
      <c r="S15" s="277"/>
      <c r="T15" s="277"/>
      <c r="U15" s="278"/>
      <c r="V15" s="56"/>
      <c r="W15" s="56"/>
      <c r="X15" s="56"/>
      <c r="AA15" s="585"/>
    </row>
    <row r="16" spans="1:252">
      <c r="B16" s="25" t="str">
        <f>IF(Contents!$B$2=2,"Notes:","Примечания:")</f>
        <v>Примечания:</v>
      </c>
      <c r="C16" s="61"/>
      <c r="D16" s="62"/>
      <c r="E16" s="62"/>
      <c r="F16" s="62"/>
      <c r="G16" s="62"/>
      <c r="H16" s="62"/>
      <c r="I16" s="62"/>
      <c r="J16" s="62"/>
      <c r="K16" s="62"/>
      <c r="L16" s="62"/>
      <c r="M16" s="62"/>
      <c r="N16" s="63"/>
      <c r="P16" s="598"/>
      <c r="R16" s="615"/>
      <c r="S16" s="277"/>
      <c r="T16" s="277"/>
      <c r="U16" s="278"/>
      <c r="V16" s="56"/>
      <c r="W16" s="56"/>
      <c r="AA16" s="585"/>
    </row>
    <row r="17" spans="1:252">
      <c r="B17" s="65" t="str">
        <f>IF(Contents!$B$2=2,B251,B252)</f>
        <v>Проверки надзорными органами включают проверки прокуратур субъектов Российской Федерации, Федеральной службы по надзору в сфере природопользования, органов исполнительной власти субъектов Российской Федерации, администраций муниципальных образований, Федерального Агентства по рыболовству.</v>
      </c>
      <c r="C17" s="65"/>
      <c r="D17" s="65"/>
      <c r="E17" s="65"/>
      <c r="F17" s="65"/>
      <c r="G17" s="65"/>
      <c r="H17" s="65"/>
      <c r="I17" s="65"/>
      <c r="J17" s="65"/>
      <c r="K17" s="65"/>
      <c r="L17" s="65"/>
      <c r="M17" s="65"/>
      <c r="N17" s="65"/>
      <c r="P17" s="56"/>
      <c r="R17" s="615"/>
      <c r="S17" s="277"/>
      <c r="T17" s="277"/>
      <c r="U17" s="278"/>
      <c r="V17" s="56"/>
      <c r="W17" s="56"/>
      <c r="AA17" s="585"/>
    </row>
    <row r="18" spans="1:252">
      <c r="B18" s="218"/>
      <c r="C18" s="281"/>
      <c r="D18" s="10"/>
      <c r="E18" s="10"/>
      <c r="F18" s="10"/>
      <c r="G18" s="10"/>
      <c r="H18" s="10"/>
      <c r="I18" s="282"/>
      <c r="J18" s="282"/>
      <c r="K18" s="282"/>
      <c r="L18" s="282"/>
      <c r="M18" s="282"/>
      <c r="N18" s="282"/>
      <c r="P18" s="56"/>
      <c r="R18" s="273"/>
      <c r="S18" s="273"/>
      <c r="T18" s="56"/>
      <c r="U18" s="60"/>
      <c r="V18" s="56"/>
      <c r="W18" s="56"/>
      <c r="X18" s="56"/>
      <c r="AA18" s="585"/>
    </row>
    <row r="19" spans="1:252" ht="20.100000000000001" customHeight="1">
      <c r="B19" s="272" t="str">
        <f>IF(Contents!$B$2=2,"Compliance with environmental laws","Cоблюдение природоохранного законодательства")</f>
        <v>Cоблюдение природоохранного законодательства</v>
      </c>
      <c r="C19" s="272"/>
      <c r="D19" s="272"/>
      <c r="E19" s="272"/>
      <c r="F19" s="272"/>
      <c r="G19" s="272"/>
      <c r="H19" s="272"/>
      <c r="I19" s="272"/>
      <c r="J19" s="272"/>
      <c r="K19" s="272"/>
      <c r="L19" s="272"/>
      <c r="M19" s="272"/>
      <c r="N19" s="272"/>
      <c r="P19" s="616"/>
      <c r="R19" s="616"/>
      <c r="S19" s="616"/>
      <c r="T19" s="616"/>
      <c r="U19" s="616"/>
      <c r="V19" s="616"/>
      <c r="W19" s="616"/>
      <c r="X19" s="616"/>
      <c r="Y19" s="616"/>
      <c r="AA19" s="585"/>
    </row>
    <row r="20" spans="1:252">
      <c r="B20" s="23" t="str">
        <f>IF(Contents!$B$2=2,"by type of violation of environmental laws","по видам случаев нарушения природоохранного законодательства")</f>
        <v>по видам случаев нарушения природоохранного законодательства</v>
      </c>
      <c r="C20" s="283"/>
      <c r="D20" s="335" t="s">
        <v>185</v>
      </c>
      <c r="E20" s="335" t="s">
        <v>185</v>
      </c>
      <c r="F20" s="335" t="s">
        <v>185</v>
      </c>
      <c r="G20" s="335" t="s">
        <v>185</v>
      </c>
      <c r="H20" s="335" t="s">
        <v>185</v>
      </c>
      <c r="I20" s="495">
        <v>55</v>
      </c>
      <c r="J20" s="495">
        <v>102</v>
      </c>
      <c r="K20" s="495">
        <v>111</v>
      </c>
      <c r="L20" s="495">
        <v>72</v>
      </c>
      <c r="M20" s="495">
        <v>45</v>
      </c>
      <c r="N20" s="495">
        <v>64</v>
      </c>
      <c r="P20" s="598"/>
      <c r="R20" s="273"/>
      <c r="S20" s="273"/>
      <c r="T20" s="273"/>
      <c r="U20" s="273"/>
      <c r="V20" s="297"/>
      <c r="W20" s="277">
        <v>2</v>
      </c>
      <c r="X20" s="297"/>
      <c r="Y20" s="297"/>
      <c r="AA20" s="585"/>
    </row>
    <row r="21" spans="1:252">
      <c r="B21" s="284" t="str">
        <f>IF(Contents!$B$2=2,"Number of cases for which fines were charged","Количество случаев, за которые были начислены штрафы")</f>
        <v>Количество случаев, за которые были начислены штрафы</v>
      </c>
      <c r="C21" s="12" t="str">
        <f>IF(Contents!$B$2=2,"unit","ед.")</f>
        <v>ед.</v>
      </c>
      <c r="D21" s="10" t="s">
        <v>185</v>
      </c>
      <c r="E21" s="10" t="s">
        <v>185</v>
      </c>
      <c r="F21" s="10" t="s">
        <v>185</v>
      </c>
      <c r="G21" s="10" t="s">
        <v>185</v>
      </c>
      <c r="H21" s="10" t="s">
        <v>185</v>
      </c>
      <c r="I21" s="101">
        <v>51</v>
      </c>
      <c r="J21" s="101">
        <v>66</v>
      </c>
      <c r="K21" s="101">
        <v>13</v>
      </c>
      <c r="L21" s="101">
        <v>6</v>
      </c>
      <c r="M21" s="101">
        <v>6</v>
      </c>
      <c r="N21" s="204">
        <v>7</v>
      </c>
      <c r="O21" s="887"/>
      <c r="P21" s="598" t="str">
        <f>IF(Contents!$B$2=2,"Yes","Да")</f>
        <v>Да</v>
      </c>
      <c r="R21" s="273" t="s">
        <v>90</v>
      </c>
      <c r="S21" s="273"/>
      <c r="T21" s="56"/>
      <c r="U21" s="60"/>
      <c r="V21" s="56"/>
      <c r="W21" s="277">
        <v>2</v>
      </c>
      <c r="X21" s="56"/>
      <c r="AA21" s="585"/>
    </row>
    <row r="22" spans="1:252">
      <c r="B22" s="284" t="str">
        <f>IF(Contents!$B$2=2,"Number of cases of applying non-financial sanctions","Количество случаев применения нефинансовых санкций")</f>
        <v>Количество случаев применения нефинансовых санкций</v>
      </c>
      <c r="C22" s="12" t="str">
        <f>IF(Contents!$B$2=2,"unit","ед.")</f>
        <v>ед.</v>
      </c>
      <c r="D22" s="10" t="s">
        <v>185</v>
      </c>
      <c r="E22" s="10" t="s">
        <v>185</v>
      </c>
      <c r="F22" s="10" t="s">
        <v>185</v>
      </c>
      <c r="G22" s="10" t="s">
        <v>185</v>
      </c>
      <c r="H22" s="10" t="s">
        <v>185</v>
      </c>
      <c r="I22" s="101">
        <v>4</v>
      </c>
      <c r="J22" s="101">
        <v>36</v>
      </c>
      <c r="K22" s="101">
        <v>98</v>
      </c>
      <c r="L22" s="101">
        <v>66</v>
      </c>
      <c r="M22" s="101">
        <v>39</v>
      </c>
      <c r="N22" s="204">
        <v>57</v>
      </c>
      <c r="O22" s="870"/>
      <c r="P22" s="598" t="str">
        <f>IF(Contents!$B$2=2,"Yes","Да")</f>
        <v>Да</v>
      </c>
      <c r="R22" s="273" t="s">
        <v>90</v>
      </c>
      <c r="S22" s="273"/>
      <c r="T22" s="56"/>
      <c r="U22" s="60"/>
      <c r="V22" s="56"/>
      <c r="W22" s="277">
        <v>2</v>
      </c>
      <c r="X22" s="56"/>
      <c r="AA22" s="585"/>
    </row>
    <row r="23" spans="1:252">
      <c r="B23" s="284" t="str">
        <f>IF(Contents!$B$2=2,"Number of environmentally significant incidents","Количество экологически-значимых инцидентов")</f>
        <v>Количество экологически-значимых инцидентов</v>
      </c>
      <c r="C23" s="12" t="str">
        <f>IF(Contents!$B$2=2,"unit","ед.")</f>
        <v>ед.</v>
      </c>
      <c r="D23" s="10" t="s">
        <v>185</v>
      </c>
      <c r="E23" s="10" t="s">
        <v>185</v>
      </c>
      <c r="F23" s="10">
        <v>0</v>
      </c>
      <c r="G23" s="10">
        <v>1</v>
      </c>
      <c r="H23" s="10">
        <v>0</v>
      </c>
      <c r="I23" s="101">
        <v>0</v>
      </c>
      <c r="J23" s="101">
        <v>0</v>
      </c>
      <c r="K23" s="101">
        <v>0</v>
      </c>
      <c r="L23" s="101">
        <v>0</v>
      </c>
      <c r="M23" s="101">
        <v>0</v>
      </c>
      <c r="N23" s="204">
        <v>0</v>
      </c>
      <c r="P23" s="598" t="str">
        <f>IF(Contents!$B$2=2,"Yes","Да")</f>
        <v>Да</v>
      </c>
      <c r="R23" s="273" t="s">
        <v>90</v>
      </c>
      <c r="S23" s="273"/>
      <c r="T23" s="273"/>
      <c r="U23" s="273" t="str">
        <f>IF(Contents!$B$2=2,"PBCS 17","СОКБ 17")</f>
        <v>СОКБ 17</v>
      </c>
      <c r="V23" s="297"/>
      <c r="W23" s="277">
        <v>2</v>
      </c>
      <c r="X23" s="56"/>
      <c r="Y23" s="297"/>
      <c r="AA23" s="585"/>
    </row>
    <row r="24" spans="1:252">
      <c r="B24" s="285" t="str">
        <f>IF(Contents!$B$2=2,"Number of significant spills","Количество существенных разливов")</f>
        <v>Количество существенных разливов</v>
      </c>
      <c r="C24" s="12" t="str">
        <f>IF(Contents!$B$2=2,"unit","ед.")</f>
        <v>ед.</v>
      </c>
      <c r="D24" s="10" t="s">
        <v>185</v>
      </c>
      <c r="E24" s="10" t="s">
        <v>185</v>
      </c>
      <c r="F24" s="10">
        <v>0</v>
      </c>
      <c r="G24" s="10">
        <v>1</v>
      </c>
      <c r="H24" s="10">
        <v>0</v>
      </c>
      <c r="I24" s="101">
        <v>0</v>
      </c>
      <c r="J24" s="101">
        <v>0</v>
      </c>
      <c r="K24" s="101">
        <v>0</v>
      </c>
      <c r="L24" s="101">
        <v>0</v>
      </c>
      <c r="M24" s="101">
        <v>0</v>
      </c>
      <c r="N24" s="204">
        <v>0</v>
      </c>
      <c r="P24" s="598" t="str">
        <f>IF(Contents!$B$2=2,"Yes","Да")</f>
        <v>Да</v>
      </c>
      <c r="R24" s="273"/>
      <c r="S24" s="56"/>
      <c r="T24" s="56" t="s">
        <v>91</v>
      </c>
      <c r="U24" s="56"/>
      <c r="V24" s="297"/>
      <c r="W24" s="277">
        <v>2</v>
      </c>
      <c r="X24" s="56"/>
      <c r="Y24" s="297"/>
      <c r="AA24" s="585"/>
    </row>
    <row r="25" spans="1:252">
      <c r="B25" s="284" t="str">
        <f>IF(Contents!$B$2=2,"Number of cases of non-compliance with discharge limits","Количество случаев несоблюдения лимитов сброса")</f>
        <v>Количество случаев несоблюдения лимитов сброса</v>
      </c>
      <c r="C25" s="12" t="str">
        <f>IF(Contents!$B$2=2,"unit","ед.")</f>
        <v>ед.</v>
      </c>
      <c r="D25" s="10" t="s">
        <v>185</v>
      </c>
      <c r="E25" s="10" t="s">
        <v>185</v>
      </c>
      <c r="F25" s="10" t="s">
        <v>185</v>
      </c>
      <c r="G25" s="10" t="s">
        <v>185</v>
      </c>
      <c r="H25" s="10" t="s">
        <v>185</v>
      </c>
      <c r="I25" s="10" t="s">
        <v>185</v>
      </c>
      <c r="J25" s="10" t="s">
        <v>185</v>
      </c>
      <c r="K25" s="101">
        <v>3</v>
      </c>
      <c r="L25" s="101">
        <v>3</v>
      </c>
      <c r="M25" s="101">
        <v>1</v>
      </c>
      <c r="N25" s="204">
        <v>0</v>
      </c>
      <c r="P25" s="598"/>
      <c r="R25" s="273"/>
      <c r="S25" s="56"/>
      <c r="T25" s="56"/>
      <c r="U25" s="56"/>
      <c r="V25" s="297"/>
      <c r="W25" s="277">
        <v>2</v>
      </c>
      <c r="X25" s="56"/>
      <c r="Y25" s="297"/>
      <c r="AA25" s="585"/>
    </row>
    <row r="26" spans="1:252" s="1" customFormat="1">
      <c r="A26" s="251"/>
      <c r="B26" s="284" t="str">
        <f>IF(Contents!$B$2=2,"Number of non-compliance with emission limits","Количество случаев несоблюдения лимитов выбросов")</f>
        <v>Количество случаев несоблюдения лимитов выбросов</v>
      </c>
      <c r="C26" s="12" t="str">
        <f>IF(Contents!$B$2=2,"unit","ед.")</f>
        <v>ед.</v>
      </c>
      <c r="D26" s="10" t="s">
        <v>185</v>
      </c>
      <c r="E26" s="10" t="s">
        <v>185</v>
      </c>
      <c r="F26" s="10" t="s">
        <v>185</v>
      </c>
      <c r="G26" s="10" t="s">
        <v>185</v>
      </c>
      <c r="H26" s="10" t="s">
        <v>185</v>
      </c>
      <c r="I26" s="10" t="s">
        <v>185</v>
      </c>
      <c r="J26" s="10" t="s">
        <v>185</v>
      </c>
      <c r="K26" s="101">
        <v>1</v>
      </c>
      <c r="L26" s="101">
        <v>1</v>
      </c>
      <c r="M26" s="101">
        <v>0</v>
      </c>
      <c r="N26" s="204">
        <v>0</v>
      </c>
      <c r="O26" s="253"/>
      <c r="P26" s="598"/>
      <c r="Q26" s="253"/>
      <c r="R26" s="273"/>
      <c r="S26" s="56"/>
      <c r="T26" s="56"/>
      <c r="U26" s="56"/>
      <c r="V26" s="297"/>
      <c r="W26" s="277">
        <v>2</v>
      </c>
      <c r="X26" s="56"/>
      <c r="Y26" s="297"/>
      <c r="Z26" s="606"/>
      <c r="AA26" s="585"/>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row>
    <row r="27" spans="1:252" s="1" customFormat="1">
      <c r="A27" s="251"/>
      <c r="B27" s="93"/>
      <c r="C27" s="286"/>
      <c r="D27" s="10"/>
      <c r="E27" s="10"/>
      <c r="F27" s="10"/>
      <c r="G27" s="10"/>
      <c r="H27" s="10"/>
      <c r="I27" s="101"/>
      <c r="J27" s="101"/>
      <c r="K27" s="101"/>
      <c r="L27" s="101"/>
      <c r="M27" s="101"/>
      <c r="N27" s="101"/>
      <c r="O27" s="253"/>
      <c r="P27" s="926"/>
      <c r="Q27" s="253"/>
      <c r="R27" s="273"/>
      <c r="S27" s="56"/>
      <c r="T27" s="56"/>
      <c r="U27" s="56"/>
      <c r="V27" s="297"/>
      <c r="W27" s="297"/>
      <c r="X27" s="297"/>
      <c r="Y27" s="297"/>
      <c r="Z27" s="606"/>
      <c r="AA27" s="585"/>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row>
    <row r="28" spans="1:252" s="1" customFormat="1">
      <c r="A28" s="251"/>
      <c r="B28" s="25" t="str">
        <f>IF(Contents!$B$2=2,"Notes:","Примечания:")</f>
        <v>Примечания:</v>
      </c>
      <c r="C28" s="61"/>
      <c r="D28" s="62"/>
      <c r="E28" s="62"/>
      <c r="F28" s="62"/>
      <c r="G28" s="62"/>
      <c r="H28" s="62"/>
      <c r="I28" s="62"/>
      <c r="J28" s="62"/>
      <c r="K28" s="62"/>
      <c r="L28" s="62"/>
      <c r="M28" s="62"/>
      <c r="N28" s="63"/>
      <c r="O28" s="253"/>
      <c r="P28" s="56"/>
      <c r="Q28" s="253"/>
      <c r="R28" s="56"/>
      <c r="S28" s="56"/>
      <c r="T28" s="56"/>
      <c r="U28" s="60"/>
      <c r="V28" s="56"/>
      <c r="W28" s="56"/>
      <c r="X28" s="56"/>
      <c r="Y28" s="56"/>
      <c r="Z28" s="606"/>
      <c r="AA28" s="585"/>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row>
    <row r="29" spans="1:252" s="1" customFormat="1">
      <c r="A29" s="116"/>
      <c r="B29" s="65" t="str">
        <f>IF(Contents!$B$2=2,"The total number of cases for which fines were accrued in the reporting year may include cases of previous years for which fines were paid in the reporting period.","Общее количество случаев, за которые были начислены штрафы в отчетном году может включать случаи прошлых лет, штрафные санкции за которые оплачены в отчетном периоде.")</f>
        <v>Общее количество случаев, за которые были начислены штрафы в отчетном году может включать случаи прошлых лет, штрафные санкции за которые оплачены в отчетном периоде.</v>
      </c>
      <c r="C29" s="65"/>
      <c r="D29" s="65"/>
      <c r="E29" s="65"/>
      <c r="F29" s="65"/>
      <c r="G29" s="65"/>
      <c r="H29" s="65"/>
      <c r="I29" s="65"/>
      <c r="J29" s="65"/>
      <c r="K29" s="65"/>
      <c r="L29" s="65"/>
      <c r="M29" s="65"/>
      <c r="N29" s="65"/>
      <c r="O29" s="253"/>
      <c r="P29" s="56"/>
      <c r="Q29" s="253"/>
      <c r="R29" s="56"/>
      <c r="S29" s="56"/>
      <c r="T29" s="56"/>
      <c r="U29" s="60"/>
      <c r="V29" s="56"/>
      <c r="W29" s="56"/>
      <c r="X29" s="56"/>
      <c r="Y29" s="56"/>
      <c r="Z29" s="606"/>
      <c r="AA29" s="585"/>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row>
    <row r="30" spans="1:252" s="1" customFormat="1">
      <c r="A30" s="116"/>
      <c r="B30" s="65" t="str">
        <f>IF(Contents!$B$2=2,"The spill materiality thresholds are determined based on the requirements of the regulatory legal acts of the Russian Federation: for water bodies - ≥0,5 tons, for land - ≥3 tons.","Пороги существенности разливов определены на основе требований нормативно-правовых актов Российской Федерации:  для водных объектов – ≥0,5 тонны, для суши – ≥3 тонны.")</f>
        <v>Пороги существенности разливов определены на основе требований нормативно-правовых актов Российской Федерации:  для водных объектов – ≥0,5 тонны, для суши – ≥3 тонны.</v>
      </c>
      <c r="C30" s="65"/>
      <c r="D30" s="65"/>
      <c r="E30" s="65"/>
      <c r="F30" s="65"/>
      <c r="G30" s="65"/>
      <c r="H30" s="65"/>
      <c r="I30" s="65"/>
      <c r="J30" s="65"/>
      <c r="K30" s="65"/>
      <c r="L30" s="65"/>
      <c r="M30" s="65"/>
      <c r="N30" s="65"/>
      <c r="O30" s="253"/>
      <c r="P30" s="56"/>
      <c r="Q30" s="253"/>
      <c r="R30" s="56"/>
      <c r="S30" s="56"/>
      <c r="T30" s="56"/>
      <c r="U30" s="60"/>
      <c r="V30" s="56"/>
      <c r="W30" s="56"/>
      <c r="X30" s="56"/>
      <c r="Y30" s="56"/>
      <c r="Z30" s="606"/>
      <c r="AA30" s="585"/>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row>
    <row r="31" spans="1:252" s="1" customFormat="1">
      <c r="A31" s="251"/>
      <c r="B31" s="218"/>
      <c r="C31" s="281"/>
      <c r="D31" s="10"/>
      <c r="E31" s="10"/>
      <c r="F31" s="10"/>
      <c r="G31" s="10"/>
      <c r="H31" s="10"/>
      <c r="I31" s="282"/>
      <c r="J31" s="282"/>
      <c r="K31" s="282"/>
      <c r="L31" s="282"/>
      <c r="M31" s="282"/>
      <c r="N31" s="282"/>
      <c r="O31" s="253"/>
      <c r="P31" s="926"/>
      <c r="Q31" s="253"/>
      <c r="R31" s="273"/>
      <c r="S31" s="273"/>
      <c r="T31" s="56"/>
      <c r="U31" s="60"/>
      <c r="V31" s="297"/>
      <c r="W31" s="297"/>
      <c r="X31" s="297"/>
      <c r="Y31" s="297"/>
      <c r="Z31" s="606"/>
      <c r="AA31" s="585"/>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row>
    <row r="32" spans="1:252" s="1" customFormat="1" ht="20.100000000000001" customHeight="1">
      <c r="A32" s="251"/>
      <c r="B32" s="272" t="str">
        <f>IF(Contents!$B$2=2,"Environmental expenses","Расходы на охрану окружающей среды")</f>
        <v>Расходы на охрану окружающей среды</v>
      </c>
      <c r="C32" s="272"/>
      <c r="D32" s="272"/>
      <c r="E32" s="272"/>
      <c r="F32" s="272"/>
      <c r="G32" s="272"/>
      <c r="H32" s="272"/>
      <c r="I32" s="272"/>
      <c r="J32" s="272"/>
      <c r="K32" s="665"/>
      <c r="L32" s="665"/>
      <c r="M32" s="665"/>
      <c r="N32" s="665"/>
      <c r="O32" s="253"/>
      <c r="P32" s="614"/>
      <c r="Q32" s="253"/>
      <c r="R32" s="273"/>
      <c r="S32" s="273"/>
      <c r="T32" s="273"/>
      <c r="U32" s="616"/>
      <c r="V32" s="614"/>
      <c r="W32" s="614"/>
      <c r="X32" s="614"/>
      <c r="Y32" s="614"/>
      <c r="Z32" s="606"/>
      <c r="AA32" s="585"/>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row>
    <row r="33" spans="1:252" s="1" customFormat="1">
      <c r="A33" s="251"/>
      <c r="B33" s="274" t="str">
        <f>IF(Contents!$B$2=2,"Environmental expenses","Расходы на охрану окружающей среды")</f>
        <v>Расходы на охрану окружающей среды</v>
      </c>
      <c r="C33" s="42" t="str">
        <f>IF(Contents!$B$2=2,"RR th.","тыс. руб.")</f>
        <v>тыс. руб.</v>
      </c>
      <c r="D33" s="247" t="s">
        <v>185</v>
      </c>
      <c r="E33" s="247" t="s">
        <v>185</v>
      </c>
      <c r="F33" s="247">
        <v>1372000</v>
      </c>
      <c r="G33" s="247">
        <v>1494000</v>
      </c>
      <c r="H33" s="275">
        <v>1425236</v>
      </c>
      <c r="I33" s="275">
        <v>2381887</v>
      </c>
      <c r="J33" s="275">
        <v>2908482.8786533689</v>
      </c>
      <c r="K33" s="275">
        <v>2570042.5354253375</v>
      </c>
      <c r="L33" s="275">
        <v>3088388.1134981336</v>
      </c>
      <c r="M33" s="275">
        <v>3428649.9670470846</v>
      </c>
      <c r="N33" s="275">
        <v>3277126.0581303295</v>
      </c>
      <c r="O33" s="887"/>
      <c r="P33" s="277" t="str">
        <f>IF(Contents!$B$2=2,"Yes","Да")</f>
        <v>Да</v>
      </c>
      <c r="Q33" s="253"/>
      <c r="R33" s="273"/>
      <c r="S33" s="273"/>
      <c r="T33" s="273"/>
      <c r="U33" s="273" t="str">
        <f>IF(Contents!$B$2=2,"PBCS 11","СОКБ 11")</f>
        <v>СОКБ 11</v>
      </c>
      <c r="V33" s="297"/>
      <c r="W33" s="277">
        <v>2</v>
      </c>
      <c r="X33" s="277"/>
      <c r="Y33" s="297"/>
      <c r="Z33" s="606"/>
      <c r="AA33" s="585"/>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row>
    <row r="34" spans="1:252" s="1" customFormat="1">
      <c r="A34" s="251"/>
      <c r="B34" s="23" t="str">
        <f>IF(Contents!$B$2=2,"by activity type","по типу мероприятия")</f>
        <v>по типу мероприятия</v>
      </c>
      <c r="C34" s="283"/>
      <c r="D34" s="283"/>
      <c r="E34" s="283"/>
      <c r="F34" s="283"/>
      <c r="G34" s="283"/>
      <c r="H34" s="283"/>
      <c r="I34" s="283"/>
      <c r="J34" s="283"/>
      <c r="K34" s="664"/>
      <c r="L34" s="664"/>
      <c r="M34" s="664"/>
      <c r="N34" s="664"/>
      <c r="O34" s="253"/>
      <c r="P34" s="926"/>
      <c r="Q34" s="253"/>
      <c r="R34" s="273"/>
      <c r="S34" s="273"/>
      <c r="T34" s="273"/>
      <c r="U34" s="273"/>
      <c r="V34" s="297"/>
      <c r="W34" s="297"/>
      <c r="X34" s="297"/>
      <c r="Y34" s="297"/>
      <c r="Z34" s="606"/>
      <c r="AA34" s="585"/>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row>
    <row r="35" spans="1:252" s="1" customFormat="1">
      <c r="A35" s="251"/>
      <c r="B35" s="284" t="str">
        <f>IF(Contents!$B$2=2,"Air protection and climate change prevention","Охрана атмосферного воздуха и предотвращение изменения климата")</f>
        <v>Охрана атмосферного воздуха и предотвращение изменения климата</v>
      </c>
      <c r="C35" s="12" t="str">
        <f>IF(Contents!$B$2=2,"RR th.","тыс. руб.")</f>
        <v>тыс. руб.</v>
      </c>
      <c r="D35" s="10" t="s">
        <v>185</v>
      </c>
      <c r="E35" s="10" t="s">
        <v>185</v>
      </c>
      <c r="F35" s="10" t="s">
        <v>185</v>
      </c>
      <c r="G35" s="10" t="s">
        <v>185</v>
      </c>
      <c r="H35" s="74">
        <v>101524</v>
      </c>
      <c r="I35" s="74">
        <v>38299</v>
      </c>
      <c r="J35" s="101">
        <v>233628.71071450014</v>
      </c>
      <c r="K35" s="101">
        <v>209214.91244260001</v>
      </c>
      <c r="L35" s="101">
        <v>709930.76018994965</v>
      </c>
      <c r="M35" s="101">
        <v>277309.76520298002</v>
      </c>
      <c r="N35" s="204">
        <v>624185.11738839594</v>
      </c>
      <c r="O35" s="888"/>
      <c r="P35" s="277" t="str">
        <f>IF(Contents!$B$2=2,"Yes","Да")</f>
        <v>Да</v>
      </c>
      <c r="Q35" s="253"/>
      <c r="R35" s="273"/>
      <c r="S35" s="273"/>
      <c r="T35" s="273"/>
      <c r="U35" s="273" t="str">
        <f>IF(Contents!$B$2=2,"PBCS 11","СОКБ 11")</f>
        <v>СОКБ 11</v>
      </c>
      <c r="V35" s="297"/>
      <c r="W35" s="277">
        <v>2</v>
      </c>
      <c r="X35" s="277"/>
      <c r="Y35" s="297"/>
      <c r="Z35" s="606"/>
      <c r="AA35" s="585"/>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row>
    <row r="36" spans="1:252" s="1" customFormat="1">
      <c r="A36" s="251"/>
      <c r="B36" s="284" t="str">
        <f>IF(Contents!$B$2=2,"Water resources protection (wastewater discharge and treatment)","Охрана водных ресурсов (сброс и очистка сточных вод)")</f>
        <v>Охрана водных ресурсов (сброс и очистка сточных вод)</v>
      </c>
      <c r="C36" s="12" t="str">
        <f>IF(Contents!$B$2=2,"RR th.","тыс. руб.")</f>
        <v>тыс. руб.</v>
      </c>
      <c r="D36" s="10" t="s">
        <v>185</v>
      </c>
      <c r="E36" s="10" t="s">
        <v>185</v>
      </c>
      <c r="F36" s="10" t="s">
        <v>185</v>
      </c>
      <c r="G36" s="10" t="s">
        <v>185</v>
      </c>
      <c r="H36" s="74">
        <v>562651</v>
      </c>
      <c r="I36" s="74">
        <v>1382479</v>
      </c>
      <c r="J36" s="101">
        <v>1332881.6087989165</v>
      </c>
      <c r="K36" s="101">
        <v>743990.57616974995</v>
      </c>
      <c r="L36" s="101">
        <v>1004588.8252395431</v>
      </c>
      <c r="M36" s="101">
        <v>2033546.6113855781</v>
      </c>
      <c r="N36" s="204">
        <v>1691733.4485025997</v>
      </c>
      <c r="O36" s="253"/>
      <c r="P36" s="277" t="str">
        <f>IF(Contents!$B$2=2,"Yes","Да")</f>
        <v>Да</v>
      </c>
      <c r="Q36" s="253"/>
      <c r="R36" s="273"/>
      <c r="S36" s="273"/>
      <c r="T36" s="273"/>
      <c r="U36" s="273" t="str">
        <f>IF(Contents!$B$2=2,"PBCS 11","СОКБ 11")</f>
        <v>СОКБ 11</v>
      </c>
      <c r="V36" s="56"/>
      <c r="W36" s="277">
        <v>2</v>
      </c>
      <c r="X36" s="277"/>
      <c r="Y36" s="56"/>
      <c r="Z36" s="606"/>
      <c r="AA36" s="585"/>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row>
    <row r="37" spans="1:252" s="1" customFormat="1" ht="36">
      <c r="A37" s="251"/>
      <c r="B37" s="284" t="str">
        <f>IF(Contents!$B$2=2,"Environmental protection from production and consumption waste, safe waste management","Охрана окружающей среды от отходов производства и потребления, безопасному обращению с отходами")</f>
        <v>Охрана окружающей среды от отходов производства и потребления, безопасному обращению с отходами</v>
      </c>
      <c r="C37" s="12" t="str">
        <f>IF(Contents!$B$2=2,"RR th.","тыс. руб.")</f>
        <v>тыс. руб.</v>
      </c>
      <c r="D37" s="10" t="s">
        <v>185</v>
      </c>
      <c r="E37" s="10" t="s">
        <v>185</v>
      </c>
      <c r="F37" s="10" t="s">
        <v>185</v>
      </c>
      <c r="G37" s="10" t="s">
        <v>185</v>
      </c>
      <c r="H37" s="74">
        <v>393961</v>
      </c>
      <c r="I37" s="74">
        <v>320230</v>
      </c>
      <c r="J37" s="101">
        <v>510546.684955</v>
      </c>
      <c r="K37" s="101">
        <v>870649.34575378662</v>
      </c>
      <c r="L37" s="101">
        <v>728774.82264314976</v>
      </c>
      <c r="M37" s="101">
        <v>609976.53624282707</v>
      </c>
      <c r="N37" s="204">
        <v>491591.66621158709</v>
      </c>
      <c r="O37" s="253"/>
      <c r="P37" s="277" t="str">
        <f>IF(Contents!$B$2=2,"Yes","Да")</f>
        <v>Да</v>
      </c>
      <c r="Q37" s="253"/>
      <c r="R37" s="273"/>
      <c r="S37" s="273"/>
      <c r="T37" s="273"/>
      <c r="U37" s="273" t="str">
        <f>IF(Contents!$B$2=2,"PBCS 11","СОКБ 11")</f>
        <v>СОКБ 11</v>
      </c>
      <c r="V37" s="614"/>
      <c r="W37" s="277">
        <v>2</v>
      </c>
      <c r="X37" s="277"/>
      <c r="Y37" s="614"/>
      <c r="Z37" s="606"/>
      <c r="AA37" s="585"/>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row>
    <row r="38" spans="1:252" s="1" customFormat="1">
      <c r="A38" s="251"/>
      <c r="B38" s="284" t="str">
        <f>IF(Contents!$B$2=2,"Protection of land resources and soil cover","Охрана земельных ресурсов и почвенного покрова")</f>
        <v>Охрана земельных ресурсов и почвенного покрова</v>
      </c>
      <c r="C38" s="12" t="str">
        <f>IF(Contents!$B$2=2,"RR th.","тыс. руб.")</f>
        <v>тыс. руб.</v>
      </c>
      <c r="D38" s="10" t="s">
        <v>185</v>
      </c>
      <c r="E38" s="10" t="s">
        <v>185</v>
      </c>
      <c r="F38" s="10" t="s">
        <v>185</v>
      </c>
      <c r="G38" s="10" t="s">
        <v>185</v>
      </c>
      <c r="H38" s="74">
        <v>68320</v>
      </c>
      <c r="I38" s="74">
        <v>295299</v>
      </c>
      <c r="J38" s="101">
        <v>388108</v>
      </c>
      <c r="K38" s="101">
        <v>212296</v>
      </c>
      <c r="L38" s="101">
        <v>232465</v>
      </c>
      <c r="M38" s="101">
        <v>243056</v>
      </c>
      <c r="N38" s="204">
        <v>230814.47744328302</v>
      </c>
      <c r="O38" s="253"/>
      <c r="P38" s="277" t="str">
        <f>IF(Contents!$B$2=2,"Yes","Да")</f>
        <v>Да</v>
      </c>
      <c r="Q38" s="253"/>
      <c r="R38" s="273"/>
      <c r="S38" s="273"/>
      <c r="T38" s="273"/>
      <c r="U38" s="273" t="str">
        <f>IF(Contents!$B$2=2,"PBCS 11","СОКБ 11")</f>
        <v>СОКБ 11</v>
      </c>
      <c r="V38" s="942"/>
      <c r="W38" s="277">
        <v>2</v>
      </c>
      <c r="X38" s="277"/>
      <c r="Y38" s="297"/>
      <c r="Z38" s="606"/>
      <c r="AA38" s="585"/>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row>
    <row r="39" spans="1:252">
      <c r="B39" s="284" t="str">
        <f>IF(Contents!$B$2=2,"Subsoil protection","Охрана недр")</f>
        <v>Охрана недр</v>
      </c>
      <c r="C39" s="12" t="str">
        <f>IF(Contents!$B$2=2,"RR th.","тыс. руб.")</f>
        <v>тыс. руб.</v>
      </c>
      <c r="D39" s="10" t="s">
        <v>185</v>
      </c>
      <c r="E39" s="10" t="s">
        <v>185</v>
      </c>
      <c r="F39" s="10" t="s">
        <v>185</v>
      </c>
      <c r="G39" s="10" t="s">
        <v>185</v>
      </c>
      <c r="H39" s="74">
        <v>16902</v>
      </c>
      <c r="I39" s="74">
        <v>7759</v>
      </c>
      <c r="J39" s="101">
        <v>13937</v>
      </c>
      <c r="K39" s="101">
        <v>10460</v>
      </c>
      <c r="L39" s="101">
        <v>13432</v>
      </c>
      <c r="M39" s="101">
        <v>5208</v>
      </c>
      <c r="N39" s="204">
        <v>20603.353590000002</v>
      </c>
      <c r="P39" s="277" t="str">
        <f>IF(Contents!$B$2=2,"Yes","Да")</f>
        <v>Да</v>
      </c>
      <c r="R39" s="273"/>
      <c r="S39" s="273"/>
      <c r="T39" s="273"/>
      <c r="U39" s="273" t="str">
        <f>IF(Contents!$B$2=2,"PBCS 11","СОКБ 11")</f>
        <v>СОКБ 11</v>
      </c>
      <c r="V39" s="942"/>
      <c r="W39" s="277">
        <v>2</v>
      </c>
      <c r="X39" s="277"/>
      <c r="Y39" s="297"/>
      <c r="AA39" s="585"/>
    </row>
    <row r="40" spans="1:252" ht="32.25" customHeight="1">
      <c r="B40" s="284" t="str">
        <f>IF(Contents!$B$2=2,"Protection of flora and fauna and their habitat, conservation of biodiversity","Охрана растительного и животного мира и среды их обитания, сохранение биоразнообразия")</f>
        <v>Охрана растительного и животного мира и среды их обитания, сохранение биоразнообразия</v>
      </c>
      <c r="C40" s="12" t="str">
        <f>IF(Contents!$B$2=2,"RR th.","тыс. руб.")</f>
        <v>тыс. руб.</v>
      </c>
      <c r="D40" s="10" t="s">
        <v>185</v>
      </c>
      <c r="E40" s="10" t="s">
        <v>185</v>
      </c>
      <c r="F40" s="10" t="s">
        <v>185</v>
      </c>
      <c r="G40" s="10" t="s">
        <v>185</v>
      </c>
      <c r="H40" s="74">
        <v>107669</v>
      </c>
      <c r="I40" s="74">
        <v>180663</v>
      </c>
      <c r="J40" s="101">
        <v>211852</v>
      </c>
      <c r="K40" s="101">
        <v>286692.70105920098</v>
      </c>
      <c r="L40" s="101">
        <v>157865.70542549097</v>
      </c>
      <c r="M40" s="101">
        <v>40008.054215700002</v>
      </c>
      <c r="N40" s="204">
        <v>80551.702513299999</v>
      </c>
      <c r="P40" s="277" t="str">
        <f>IF(Contents!$B$2=2,"Yes","Да")</f>
        <v>Да</v>
      </c>
      <c r="R40" s="273"/>
      <c r="S40" s="273"/>
      <c r="T40" s="273"/>
      <c r="U40" s="273" t="str">
        <f>IF(Contents!$B$2=2,"PBCS 11","СОКБ 11")</f>
        <v>СОКБ 11</v>
      </c>
      <c r="V40" s="942"/>
      <c r="W40" s="277">
        <v>2</v>
      </c>
      <c r="X40" s="277"/>
      <c r="Y40" s="297"/>
      <c r="AA40" s="585"/>
    </row>
    <row r="41" spans="1:252" s="1" customFormat="1">
      <c r="A41" s="251"/>
      <c r="B41" s="284" t="str">
        <f>IF(Contents!$B$2=2,"Environmental monitoring","Экологический мониторинг")</f>
        <v>Экологический мониторинг</v>
      </c>
      <c r="C41" s="12" t="str">
        <f>IF(Contents!$B$2=2,"RR th.","тыс. руб.")</f>
        <v>тыс. руб.</v>
      </c>
      <c r="D41" s="10" t="s">
        <v>185</v>
      </c>
      <c r="E41" s="10" t="s">
        <v>185</v>
      </c>
      <c r="F41" s="10" t="s">
        <v>185</v>
      </c>
      <c r="G41" s="10" t="s">
        <v>185</v>
      </c>
      <c r="H41" s="74">
        <v>137408</v>
      </c>
      <c r="I41" s="74">
        <v>134073</v>
      </c>
      <c r="J41" s="101">
        <v>153601</v>
      </c>
      <c r="K41" s="101">
        <v>173467</v>
      </c>
      <c r="L41" s="101">
        <v>145002</v>
      </c>
      <c r="M41" s="101">
        <v>133143</v>
      </c>
      <c r="N41" s="204">
        <v>102275.292481164</v>
      </c>
      <c r="O41" s="253"/>
      <c r="P41" s="277" t="str">
        <f>IF(Contents!$B$2=2,"Yes","Да")</f>
        <v>Да</v>
      </c>
      <c r="Q41" s="253"/>
      <c r="R41" s="273"/>
      <c r="S41" s="273"/>
      <c r="T41" s="273"/>
      <c r="U41" s="273" t="str">
        <f>IF(Contents!$B$2=2,"PBCS 11","СОКБ 11")</f>
        <v>СОКБ 11</v>
      </c>
      <c r="V41" s="942"/>
      <c r="W41" s="277">
        <v>2</v>
      </c>
      <c r="X41" s="277"/>
      <c r="Y41" s="297"/>
      <c r="Z41" s="606"/>
      <c r="AA41" s="585"/>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row>
    <row r="42" spans="1:252" s="1" customFormat="1">
      <c r="A42" s="251"/>
      <c r="B42" s="284" t="str">
        <f>IF(Contents!$B$2=2,"Environmental management (other)","Управление экологической деятельностью (прочее)")</f>
        <v>Управление экологической деятельностью (прочее)</v>
      </c>
      <c r="C42" s="12" t="str">
        <f>IF(Contents!$B$2=2,"RR th.","тыс. руб.")</f>
        <v>тыс. руб.</v>
      </c>
      <c r="D42" s="10" t="s">
        <v>185</v>
      </c>
      <c r="E42" s="10" t="s">
        <v>185</v>
      </c>
      <c r="F42" s="10" t="s">
        <v>185</v>
      </c>
      <c r="G42" s="10" t="s">
        <v>185</v>
      </c>
      <c r="H42" s="74">
        <v>21894</v>
      </c>
      <c r="I42" s="74">
        <v>17040</v>
      </c>
      <c r="J42" s="74">
        <v>58754</v>
      </c>
      <c r="K42" s="74">
        <v>50705</v>
      </c>
      <c r="L42" s="74">
        <v>80259</v>
      </c>
      <c r="M42" s="74">
        <v>77670</v>
      </c>
      <c r="N42" s="204">
        <v>31409</v>
      </c>
      <c r="O42" s="253"/>
      <c r="P42" s="277" t="str">
        <f>IF(Contents!$B$2=2,"Yes","Да")</f>
        <v>Да</v>
      </c>
      <c r="Q42" s="253"/>
      <c r="R42" s="273"/>
      <c r="S42" s="273"/>
      <c r="T42" s="273"/>
      <c r="U42" s="273" t="str">
        <f>IF(Contents!$B$2=2,"PBCS 11","СОКБ 11")</f>
        <v>СОКБ 11</v>
      </c>
      <c r="V42" s="942"/>
      <c r="W42" s="277">
        <v>2</v>
      </c>
      <c r="X42" s="277"/>
      <c r="Y42" s="297"/>
      <c r="Z42" s="606"/>
      <c r="AA42" s="585"/>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c r="IJ42" s="14"/>
      <c r="IK42" s="14"/>
      <c r="IL42" s="14"/>
      <c r="IM42" s="14"/>
      <c r="IN42" s="14"/>
      <c r="IO42" s="14"/>
      <c r="IP42" s="14"/>
      <c r="IQ42" s="14"/>
      <c r="IR42" s="14"/>
    </row>
    <row r="43" spans="1:252">
      <c r="B43" s="284" t="str">
        <f>IF(Contents!$B$2=2,"Other environmental payments","Прочие затраты на ООС")</f>
        <v>Прочие затраты на ООС</v>
      </c>
      <c r="C43" s="12" t="str">
        <f>IF(Contents!$B$2=2,"RR th.","тыс. руб.")</f>
        <v>тыс. руб.</v>
      </c>
      <c r="D43" s="10" t="s">
        <v>185</v>
      </c>
      <c r="E43" s="10" t="s">
        <v>185</v>
      </c>
      <c r="F43" s="10" t="s">
        <v>185</v>
      </c>
      <c r="G43" s="10" t="s">
        <v>185</v>
      </c>
      <c r="H43" s="287">
        <v>822</v>
      </c>
      <c r="I43" s="287">
        <v>107</v>
      </c>
      <c r="J43" s="288">
        <v>34</v>
      </c>
      <c r="K43" s="289">
        <v>1492</v>
      </c>
      <c r="L43" s="290">
        <v>7620</v>
      </c>
      <c r="M43" s="290">
        <v>4379</v>
      </c>
      <c r="N43" s="822">
        <v>0</v>
      </c>
      <c r="P43" s="277" t="str">
        <f>IF(Contents!$B$2=2,"Yes","Да")</f>
        <v>Да</v>
      </c>
      <c r="R43" s="273"/>
      <c r="S43" s="273"/>
      <c r="T43" s="273"/>
      <c r="U43" s="273" t="str">
        <f>IF(Contents!$B$2=2,"PBCS 11","СОКБ 11")</f>
        <v>СОКБ 11</v>
      </c>
      <c r="V43" s="297"/>
      <c r="W43" s="277">
        <v>2</v>
      </c>
      <c r="X43" s="277"/>
      <c r="Y43" s="297"/>
      <c r="Z43" s="617"/>
      <c r="AA43" s="585"/>
    </row>
    <row r="44" spans="1:252" s="1" customFormat="1" ht="19.5" customHeight="1">
      <c r="A44" s="251"/>
      <c r="B44" s="670"/>
      <c r="C44" s="165"/>
      <c r="D44" s="293"/>
      <c r="E44" s="293"/>
      <c r="F44" s="293"/>
      <c r="G44" s="293"/>
      <c r="H44" s="293"/>
      <c r="I44" s="293"/>
      <c r="J44" s="293"/>
      <c r="K44" s="293"/>
      <c r="L44" s="290"/>
      <c r="M44" s="290"/>
      <c r="N44" s="288"/>
      <c r="O44" s="253"/>
      <c r="P44" s="277"/>
      <c r="Q44" s="253"/>
      <c r="R44" s="273"/>
      <c r="S44" s="273"/>
      <c r="T44" s="273"/>
      <c r="U44" s="273"/>
      <c r="V44" s="297"/>
      <c r="W44" s="277"/>
      <c r="X44" s="297"/>
      <c r="Y44" s="297"/>
      <c r="Z44" s="617"/>
      <c r="AA44" s="585"/>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row>
    <row r="45" spans="1:252" s="1" customFormat="1" ht="22.5" customHeight="1">
      <c r="A45" s="251"/>
      <c r="B45" s="291" t="str">
        <f>IF(Contents!$B$2=2,"Comprehensive program of climate and environmental goals","Комплексная программа климатических и экологических целей")</f>
        <v>Комплексная программа климатических и экологических целей</v>
      </c>
      <c r="C45" s="292"/>
      <c r="D45" s="679"/>
      <c r="E45" s="679"/>
      <c r="F45" s="679"/>
      <c r="G45" s="679"/>
      <c r="H45" s="679"/>
      <c r="I45" s="679"/>
      <c r="J45" s="679"/>
      <c r="K45" s="679"/>
      <c r="L45" s="679"/>
      <c r="M45" s="679"/>
      <c r="N45" s="679"/>
      <c r="O45" s="253"/>
      <c r="P45" s="277"/>
      <c r="Q45" s="253"/>
      <c r="R45" s="273"/>
      <c r="S45" s="273"/>
      <c r="T45" s="273"/>
      <c r="U45" s="273"/>
      <c r="V45" s="297"/>
      <c r="W45" s="277"/>
      <c r="X45" s="297"/>
      <c r="Y45" s="297"/>
      <c r="Z45" s="617"/>
      <c r="AA45" s="585"/>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row>
    <row r="46" spans="1:252" s="1" customFormat="1">
      <c r="A46" s="251"/>
      <c r="B46" s="669" t="str">
        <f>IF(Contents!$B$2=2,"Comprehensive program of climate and environmental goals","Комплексная программа климатических и экологических целей")</f>
        <v>Комплексная программа климатических и экологических целей</v>
      </c>
      <c r="C46" s="12" t="str">
        <f>IF(Contents!$B$2=2,"RR th.","тыс. руб.")</f>
        <v>тыс. руб.</v>
      </c>
      <c r="D46" s="10" t="s">
        <v>185</v>
      </c>
      <c r="E46" s="10" t="s">
        <v>185</v>
      </c>
      <c r="F46" s="10" t="s">
        <v>185</v>
      </c>
      <c r="G46" s="10" t="s">
        <v>185</v>
      </c>
      <c r="H46" s="10" t="s">
        <v>185</v>
      </c>
      <c r="I46" s="10" t="s">
        <v>185</v>
      </c>
      <c r="J46" s="101">
        <v>1180853</v>
      </c>
      <c r="K46" s="101">
        <v>352305</v>
      </c>
      <c r="L46" s="101">
        <v>1040638</v>
      </c>
      <c r="M46" s="101">
        <v>1092878</v>
      </c>
      <c r="N46" s="204">
        <v>1650116.5531073296</v>
      </c>
      <c r="O46" s="253"/>
      <c r="P46" s="277" t="str">
        <f>IF(Contents!$B$2=2,"Yes","Да")</f>
        <v>Да</v>
      </c>
      <c r="Q46" s="253"/>
      <c r="R46" s="273"/>
      <c r="S46" s="273"/>
      <c r="T46" s="273"/>
      <c r="U46" s="273"/>
      <c r="V46" s="297"/>
      <c r="W46" s="277">
        <v>2</v>
      </c>
      <c r="X46" s="277"/>
      <c r="Y46" s="297"/>
      <c r="Z46" s="606"/>
      <c r="AA46" s="585"/>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row>
    <row r="48" spans="1:252" s="1" customFormat="1">
      <c r="A48" s="116"/>
      <c r="B48" s="25" t="str">
        <f>IF(Contents!$B$2=2,"Notes:","Примечания:")</f>
        <v>Примечания:</v>
      </c>
      <c r="C48" s="61"/>
      <c r="D48" s="62"/>
      <c r="E48" s="62"/>
      <c r="F48" s="62"/>
      <c r="G48" s="62"/>
      <c r="H48" s="62"/>
      <c r="I48" s="62"/>
      <c r="J48" s="62"/>
      <c r="K48" s="62"/>
      <c r="L48" s="62"/>
      <c r="M48" s="62"/>
      <c r="N48" s="63"/>
      <c r="O48" s="253"/>
      <c r="P48" s="56"/>
      <c r="Q48" s="253"/>
      <c r="R48" s="56"/>
      <c r="S48" s="56"/>
      <c r="T48" s="56"/>
      <c r="U48" s="60"/>
      <c r="V48" s="56"/>
      <c r="W48" s="56"/>
      <c r="X48" s="56"/>
      <c r="Y48" s="56"/>
      <c r="Z48" s="606"/>
      <c r="AA48" s="585"/>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row>
    <row r="49" spans="1:252" s="1" customFormat="1">
      <c r="A49" s="116"/>
      <c r="B49" s="65" t="str">
        <f>IF(Contents!$B$2=2,"Environmental costs include costs related to the implementation of the Comprehensive Climate and Environmental Goals Programme, environmental protection measures and environmental charges.","Расходы на охрану окружающей среды включают затраты на реализацию Комплексной программы климатических и экологических целей, проведение природоохранных мероприятий, а также платежи за негативное воздействие на окружаую среду")</f>
        <v>Расходы на охрану окружающей среды включают затраты на реализацию Комплексной программы климатических и экологических целей, проведение природоохранных мероприятий, а также платежи за негативное воздействие на окружаую среду</v>
      </c>
      <c r="C49" s="65"/>
      <c r="D49" s="65"/>
      <c r="E49" s="65"/>
      <c r="F49" s="65"/>
      <c r="G49" s="65"/>
      <c r="H49" s="65"/>
      <c r="I49" s="65"/>
      <c r="J49" s="65"/>
      <c r="K49" s="65"/>
      <c r="L49" s="65"/>
      <c r="M49" s="65"/>
      <c r="N49" s="65"/>
      <c r="O49" s="253"/>
      <c r="P49" s="56"/>
      <c r="Q49" s="253"/>
      <c r="R49" s="56"/>
      <c r="S49" s="56"/>
      <c r="T49" s="56"/>
      <c r="U49" s="60"/>
      <c r="V49" s="56"/>
      <c r="W49" s="56"/>
      <c r="X49" s="56"/>
      <c r="Y49" s="56"/>
      <c r="Z49" s="606"/>
      <c r="AA49" s="585"/>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row>
    <row r="50" spans="1:252" s="1" customFormat="1">
      <c r="A50" s="116"/>
      <c r="B50" s="65"/>
      <c r="C50" s="65"/>
      <c r="D50" s="65"/>
      <c r="E50" s="65"/>
      <c r="F50" s="65"/>
      <c r="G50" s="65"/>
      <c r="H50" s="65"/>
      <c r="I50" s="65"/>
      <c r="J50" s="65"/>
      <c r="K50" s="65"/>
      <c r="L50" s="65"/>
      <c r="M50" s="65"/>
      <c r="N50" s="65"/>
      <c r="O50" s="253"/>
      <c r="P50" s="56"/>
      <c r="Q50" s="253"/>
      <c r="R50" s="56"/>
      <c r="S50" s="56"/>
      <c r="T50" s="56"/>
      <c r="U50" s="60"/>
      <c r="V50" s="56"/>
      <c r="W50" s="56"/>
      <c r="X50" s="56"/>
      <c r="Y50" s="56"/>
      <c r="Z50" s="606"/>
      <c r="AA50" s="585"/>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row>
    <row r="51" spans="1:252" s="1" customFormat="1">
      <c r="A51" s="251"/>
      <c r="B51" s="274" t="str">
        <f>IF(Contents!$B$2=2,"Environmental expenses in various forms","Расходы на охрану окружающей среды по различным формам")</f>
        <v>Расходы на охрану окружающей среды по различным формам</v>
      </c>
      <c r="C51" s="42"/>
      <c r="D51" s="247"/>
      <c r="E51" s="247"/>
      <c r="F51" s="247"/>
      <c r="G51" s="247"/>
      <c r="H51" s="247"/>
      <c r="I51" s="247"/>
      <c r="J51" s="247"/>
      <c r="K51" s="275"/>
      <c r="L51" s="275"/>
      <c r="M51" s="275"/>
      <c r="N51" s="275"/>
      <c r="O51" s="253"/>
      <c r="P51" s="277"/>
      <c r="Q51" s="253"/>
      <c r="R51" s="273"/>
      <c r="S51" s="273"/>
      <c r="T51" s="273"/>
      <c r="U51" s="273"/>
      <c r="V51" s="297"/>
      <c r="W51" s="277">
        <v>2</v>
      </c>
      <c r="X51" s="277"/>
      <c r="Y51" s="297"/>
      <c r="Z51" s="606"/>
      <c r="AA51" s="585"/>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row>
    <row r="52" spans="1:252">
      <c r="B52" s="284" t="str">
        <f>IF(Contents!$B$2=2,"Capital environmental expenses (Form 18-KS)","Капитальные расходы на охрану окружающей среды(Форма 18-КС)")</f>
        <v>Капитальные расходы на охрану окружающей среды(Форма 18-КС)</v>
      </c>
      <c r="C52" s="12" t="str">
        <f>IF(Contents!$B$2=2,"RR th.","тыс. руб.")</f>
        <v>тыс. руб.</v>
      </c>
      <c r="D52" s="10" t="s">
        <v>185</v>
      </c>
      <c r="E52" s="10" t="s">
        <v>185</v>
      </c>
      <c r="F52" s="10" t="s">
        <v>185</v>
      </c>
      <c r="G52" s="10" t="s">
        <v>185</v>
      </c>
      <c r="H52" s="10" t="s">
        <v>185</v>
      </c>
      <c r="I52" s="10" t="s">
        <v>185</v>
      </c>
      <c r="J52" s="10" t="s">
        <v>185</v>
      </c>
      <c r="K52" s="10">
        <v>2001546</v>
      </c>
      <c r="L52" s="10">
        <v>3481201.4206000003</v>
      </c>
      <c r="M52" s="10">
        <v>1989899.4568</v>
      </c>
      <c r="N52" s="204">
        <v>3601908.4220000003</v>
      </c>
      <c r="P52" s="926"/>
      <c r="R52" s="273"/>
      <c r="S52" s="273"/>
      <c r="T52" s="273"/>
      <c r="U52" s="273"/>
      <c r="V52" s="297"/>
      <c r="W52" s="277">
        <v>2</v>
      </c>
      <c r="X52" s="297"/>
      <c r="Y52" s="297"/>
      <c r="AA52" s="585"/>
    </row>
    <row r="53" spans="1:252" s="1" customFormat="1">
      <c r="A53" s="251"/>
      <c r="B53" s="284" t="str">
        <f>IF(Contents!$B$2=2,"Operating environmental expenses (Form 4-OS)","Операционные расходы на охрану окружающей среды (Форма 4-ОС)")</f>
        <v>Операционные расходы на охрану окружающей среды (Форма 4-ОС)</v>
      </c>
      <c r="C53" s="12" t="str">
        <f>IF(Contents!$B$2=2,"RR th.","тыс. руб.")</f>
        <v>тыс. руб.</v>
      </c>
      <c r="D53" s="10" t="s">
        <v>185</v>
      </c>
      <c r="E53" s="10" t="s">
        <v>185</v>
      </c>
      <c r="F53" s="10" t="s">
        <v>185</v>
      </c>
      <c r="G53" s="10" t="s">
        <v>185</v>
      </c>
      <c r="H53" s="10" t="s">
        <v>185</v>
      </c>
      <c r="I53" s="10" t="s">
        <v>185</v>
      </c>
      <c r="J53" s="10" t="s">
        <v>185</v>
      </c>
      <c r="K53" s="10">
        <v>1970274</v>
      </c>
      <c r="L53" s="10">
        <v>2179930</v>
      </c>
      <c r="M53" s="10">
        <v>2068290</v>
      </c>
      <c r="N53" s="204">
        <v>1646838.7679999999</v>
      </c>
      <c r="O53" s="253"/>
      <c r="P53" s="926"/>
      <c r="Q53" s="253"/>
      <c r="R53" s="273"/>
      <c r="S53" s="273"/>
      <c r="T53" s="273"/>
      <c r="U53" s="273"/>
      <c r="V53" s="297"/>
      <c r="W53" s="277">
        <v>2</v>
      </c>
      <c r="X53" s="297"/>
      <c r="Y53" s="297"/>
      <c r="Z53" s="606"/>
      <c r="AA53" s="585"/>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row>
    <row r="54" spans="1:252" s="1" customFormat="1">
      <c r="A54" s="251"/>
      <c r="B54" s="26"/>
      <c r="F54" s="66"/>
      <c r="G54" s="543"/>
      <c r="H54" s="543"/>
      <c r="I54" s="543"/>
      <c r="J54" s="543"/>
      <c r="K54" s="543"/>
      <c r="L54" s="543"/>
      <c r="M54" s="543"/>
      <c r="N54" s="543"/>
      <c r="O54" s="22"/>
      <c r="P54" s="589"/>
      <c r="Q54" s="22"/>
      <c r="R54" s="589"/>
      <c r="S54" s="589"/>
      <c r="T54" s="589"/>
      <c r="U54" s="589"/>
      <c r="V54" s="589"/>
      <c r="W54" s="589"/>
      <c r="X54" s="589"/>
      <c r="Y54" s="589"/>
      <c r="Z54" s="226" t="s">
        <v>196</v>
      </c>
      <c r="AA54" s="226" t="s">
        <v>195</v>
      </c>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row>
    <row r="55" spans="1:252" s="1" customFormat="1">
      <c r="A55" s="251"/>
      <c r="B55" s="274" t="str">
        <f>IF(Contents!$B$2=2,"Environmental charges","Платежи за негативное воздействие на окружающую среду")</f>
        <v>Платежи за негативное воздействие на окружающую среду</v>
      </c>
      <c r="C55" s="292" t="str">
        <f>IF(Contents!$B$2=2,"RR th.","тыс. руб.")</f>
        <v>тыс. руб.</v>
      </c>
      <c r="D55" s="247" t="s">
        <v>185</v>
      </c>
      <c r="E55" s="247" t="s">
        <v>185</v>
      </c>
      <c r="F55" s="247" t="s">
        <v>185</v>
      </c>
      <c r="G55" s="247" t="s">
        <v>185</v>
      </c>
      <c r="H55" s="247">
        <v>14085</v>
      </c>
      <c r="I55" s="247">
        <v>5938</v>
      </c>
      <c r="J55" s="247">
        <v>5139.8741849520002</v>
      </c>
      <c r="K55" s="247">
        <v>11075</v>
      </c>
      <c r="L55" s="247">
        <v>8450</v>
      </c>
      <c r="M55" s="247">
        <v>4353</v>
      </c>
      <c r="N55" s="247">
        <v>3962</v>
      </c>
      <c r="O55" s="870"/>
      <c r="P55" s="277" t="str">
        <f>IF(Contents!$B$2=2,"Yes","Да")</f>
        <v>Да</v>
      </c>
      <c r="Q55" s="253"/>
      <c r="R55" s="273" t="s">
        <v>90</v>
      </c>
      <c r="S55" s="56"/>
      <c r="T55" s="56"/>
      <c r="U55" s="273" t="str">
        <f>IF(Contents!$B$2=2,"PBCS 15","СОКБ 15")</f>
        <v>СОКБ 15</v>
      </c>
      <c r="V55" s="297"/>
      <c r="W55" s="277">
        <v>2</v>
      </c>
      <c r="X55" s="277"/>
      <c r="Y55" s="297"/>
      <c r="Z55" s="606"/>
      <c r="AA55" s="585"/>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row>
    <row r="56" spans="1:252" s="1" customFormat="1">
      <c r="A56" s="251"/>
      <c r="B56" s="23" t="str">
        <f>IF(Contents!$B$2=2,"by type of environmental impact","по виду воздействия на окружающую среду")</f>
        <v>по виду воздействия на окружающую среду</v>
      </c>
      <c r="C56" s="283"/>
      <c r="D56" s="283"/>
      <c r="E56" s="283"/>
      <c r="F56" s="283"/>
      <c r="G56" s="283"/>
      <c r="H56" s="283"/>
      <c r="I56" s="283"/>
      <c r="J56" s="283"/>
      <c r="K56" s="283"/>
      <c r="L56" s="283"/>
      <c r="M56" s="283"/>
      <c r="N56" s="283"/>
      <c r="O56" s="253"/>
      <c r="P56" s="277"/>
      <c r="Q56" s="253"/>
      <c r="R56" s="606"/>
      <c r="S56" s="606"/>
      <c r="T56" s="606"/>
      <c r="U56" s="606"/>
      <c r="V56" s="606"/>
      <c r="W56" s="606"/>
      <c r="X56" s="606"/>
      <c r="Y56" s="606"/>
      <c r="Z56" s="606"/>
      <c r="AA56" s="585"/>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c r="IJ56" s="14"/>
      <c r="IK56" s="14"/>
      <c r="IL56" s="14"/>
      <c r="IM56" s="14"/>
      <c r="IN56" s="14"/>
      <c r="IO56" s="14"/>
      <c r="IP56" s="14"/>
      <c r="IQ56" s="14"/>
      <c r="IR56" s="14"/>
    </row>
    <row r="57" spans="1:252" s="1" customFormat="1">
      <c r="A57" s="251"/>
      <c r="B57" s="41" t="str">
        <f>IF(Contents!$B$2=2,"Volume of payments for regulatory impact (including for emissions, charges, waste)","Объем платежей за нормативное воздействие ( в т.ч. за выбросы, сборы, отходы)")</f>
        <v>Объем платежей за нормативное воздействие ( в т.ч. за выбросы, сборы, отходы)</v>
      </c>
      <c r="C57" s="12" t="str">
        <f>IF(Contents!$B$2=2,"RR th.","тыс. руб.")</f>
        <v>тыс. руб.</v>
      </c>
      <c r="D57" s="10" t="s">
        <v>185</v>
      </c>
      <c r="E57" s="10" t="s">
        <v>185</v>
      </c>
      <c r="F57" s="10" t="s">
        <v>185</v>
      </c>
      <c r="G57" s="10" t="s">
        <v>185</v>
      </c>
      <c r="H57" s="10" t="s">
        <v>185</v>
      </c>
      <c r="I57" s="191" t="s">
        <v>185</v>
      </c>
      <c r="J57" s="191" t="s">
        <v>185</v>
      </c>
      <c r="K57" s="213">
        <v>3877</v>
      </c>
      <c r="L57" s="213">
        <v>4274</v>
      </c>
      <c r="M57" s="213">
        <v>4287</v>
      </c>
      <c r="N57" s="347">
        <v>3877</v>
      </c>
      <c r="O57" s="870"/>
      <c r="P57" s="277" t="str">
        <f>IF(Contents!$B$2=2,"Yes","Да")</f>
        <v>Да</v>
      </c>
      <c r="Q57" s="253"/>
      <c r="R57" s="273"/>
      <c r="S57" s="273"/>
      <c r="T57" s="56"/>
      <c r="U57" s="60"/>
      <c r="V57" s="297"/>
      <c r="W57" s="277">
        <v>2</v>
      </c>
      <c r="X57" s="297"/>
      <c r="Y57" s="297"/>
      <c r="Z57" s="606"/>
      <c r="AA57" s="585"/>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row>
    <row r="58" spans="1:252" s="1" customFormat="1">
      <c r="A58" s="251"/>
      <c r="B58" s="41" t="str">
        <f>IF(Contents!$B$2=2,"Amount of payments for excess exposure, including","Объем платежей за сверхнормативное воздействие, в т.ч.")</f>
        <v>Объем платежей за сверхнормативное воздействие, в т.ч.</v>
      </c>
      <c r="C58" s="12" t="str">
        <f>IF(Contents!$B$2=2,"RR th.","тыс. руб.")</f>
        <v>тыс. руб.</v>
      </c>
      <c r="D58" s="10" t="s">
        <v>185</v>
      </c>
      <c r="E58" s="10" t="s">
        <v>185</v>
      </c>
      <c r="F58" s="10" t="s">
        <v>185</v>
      </c>
      <c r="G58" s="10" t="s">
        <v>185</v>
      </c>
      <c r="H58" s="10" t="s">
        <v>185</v>
      </c>
      <c r="I58" s="343">
        <v>306.00110000000001</v>
      </c>
      <c r="J58" s="343">
        <v>346.33020399999998</v>
      </c>
      <c r="K58" s="213">
        <v>7198</v>
      </c>
      <c r="L58" s="213">
        <v>4176</v>
      </c>
      <c r="M58" s="213">
        <v>66</v>
      </c>
      <c r="N58" s="790">
        <v>85</v>
      </c>
      <c r="O58" s="887"/>
      <c r="P58" s="277" t="str">
        <f>IF(Contents!$B$2=2,"Yes","Да")</f>
        <v>Да</v>
      </c>
      <c r="Q58" s="253"/>
      <c r="R58" s="273" t="s">
        <v>90</v>
      </c>
      <c r="S58" s="273"/>
      <c r="T58" s="56"/>
      <c r="U58" s="60"/>
      <c r="V58" s="297"/>
      <c r="W58" s="277">
        <v>2</v>
      </c>
      <c r="X58" s="277"/>
      <c r="Y58" s="297"/>
      <c r="Z58" s="606"/>
      <c r="AA58" s="585"/>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c r="IJ58" s="14"/>
      <c r="IK58" s="14"/>
      <c r="IL58" s="14"/>
      <c r="IM58" s="14"/>
      <c r="IN58" s="14"/>
      <c r="IO58" s="14"/>
      <c r="IP58" s="14"/>
      <c r="IQ58" s="14"/>
      <c r="IR58" s="14"/>
    </row>
    <row r="59" spans="1:252" s="1" customFormat="1">
      <c r="A59" s="251"/>
      <c r="B59" s="285" t="str">
        <f>IF(Contents!$B$2=2,"Payments for excess emissions","Объем платежей за сверхнормативные выбросы")</f>
        <v>Объем платежей за сверхнормативные выбросы</v>
      </c>
      <c r="C59" s="12" t="str">
        <f>IF(Contents!$B$2=2,"RR th.","тыс. руб.")</f>
        <v>тыс. руб.</v>
      </c>
      <c r="D59" s="10" t="s">
        <v>185</v>
      </c>
      <c r="E59" s="10" t="s">
        <v>185</v>
      </c>
      <c r="F59" s="10" t="s">
        <v>185</v>
      </c>
      <c r="G59" s="10" t="s">
        <v>185</v>
      </c>
      <c r="H59" s="10" t="s">
        <v>185</v>
      </c>
      <c r="I59" s="343">
        <v>274</v>
      </c>
      <c r="J59" s="343">
        <v>136</v>
      </c>
      <c r="K59" s="213">
        <v>4789</v>
      </c>
      <c r="L59" s="213">
        <v>1619</v>
      </c>
      <c r="M59" s="213">
        <v>58</v>
      </c>
      <c r="N59" s="790">
        <v>0</v>
      </c>
      <c r="O59" s="253"/>
      <c r="P59" s="277" t="str">
        <f>IF(Contents!$B$2=2,"Yes","Да")</f>
        <v>Да</v>
      </c>
      <c r="Q59" s="253"/>
      <c r="R59" s="273"/>
      <c r="S59" s="56"/>
      <c r="T59" s="56"/>
      <c r="U59" s="273"/>
      <c r="V59" s="297"/>
      <c r="W59" s="277">
        <v>2</v>
      </c>
      <c r="X59" s="277"/>
      <c r="Y59" s="297"/>
      <c r="Z59" s="606"/>
      <c r="AA59" s="585"/>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c r="IJ59" s="14"/>
      <c r="IK59" s="14"/>
      <c r="IL59" s="14"/>
      <c r="IM59" s="14"/>
      <c r="IN59" s="14"/>
      <c r="IO59" s="14"/>
      <c r="IP59" s="14"/>
      <c r="IQ59" s="14"/>
      <c r="IR59" s="14"/>
    </row>
    <row r="60" spans="1:252">
      <c r="B60" s="285" t="str">
        <f>IF(Contents!$B$2=2,"Payments for excess discharges","Объем платежей за сверхнормативные сбросы")</f>
        <v>Объем платежей за сверхнормативные сбросы</v>
      </c>
      <c r="C60" s="12" t="str">
        <f>IF(Contents!$B$2=2,"RR th.","тыс. руб.")</f>
        <v>тыс. руб.</v>
      </c>
      <c r="D60" s="10" t="s">
        <v>185</v>
      </c>
      <c r="E60" s="10" t="s">
        <v>185</v>
      </c>
      <c r="F60" s="10" t="s">
        <v>185</v>
      </c>
      <c r="G60" s="10" t="s">
        <v>185</v>
      </c>
      <c r="H60" s="10" t="s">
        <v>185</v>
      </c>
      <c r="I60" s="343">
        <v>32</v>
      </c>
      <c r="J60" s="343">
        <v>0.330204</v>
      </c>
      <c r="K60" s="213">
        <v>2409</v>
      </c>
      <c r="L60" s="213">
        <v>2557</v>
      </c>
      <c r="M60" s="213">
        <v>8</v>
      </c>
      <c r="N60" s="790">
        <v>2</v>
      </c>
      <c r="P60" s="277" t="str">
        <f>IF(Contents!$B$2=2,"Yes","Да")</f>
        <v>Да</v>
      </c>
      <c r="R60" s="273"/>
      <c r="S60" s="56"/>
      <c r="T60" s="56"/>
      <c r="U60" s="273"/>
      <c r="V60" s="297"/>
      <c r="W60" s="277">
        <v>2</v>
      </c>
      <c r="X60" s="277"/>
      <c r="Y60" s="297"/>
      <c r="AA60" s="585"/>
    </row>
    <row r="61" spans="1:252">
      <c r="B61" s="285" t="str">
        <f>IF(Contents!$B$2=2,"Payments for excessive waste disposal","Объем платежей за сверхлимитное размещение отходов")</f>
        <v>Объем платежей за сверхлимитное размещение отходов</v>
      </c>
      <c r="C61" s="12" t="str">
        <f>IF(Contents!$B$2=2,"RR th.","тыс. руб.")</f>
        <v>тыс. руб.</v>
      </c>
      <c r="D61" s="10" t="s">
        <v>185</v>
      </c>
      <c r="E61" s="10" t="s">
        <v>185</v>
      </c>
      <c r="F61" s="10" t="s">
        <v>185</v>
      </c>
      <c r="G61" s="10" t="s">
        <v>185</v>
      </c>
      <c r="H61" s="10" t="s">
        <v>185</v>
      </c>
      <c r="I61" s="343">
        <v>1.1000000000000001E-3</v>
      </c>
      <c r="J61" s="343">
        <v>210</v>
      </c>
      <c r="K61" s="343">
        <v>0</v>
      </c>
      <c r="L61" s="343">
        <v>0</v>
      </c>
      <c r="M61" s="343">
        <v>0</v>
      </c>
      <c r="N61" s="790">
        <v>83</v>
      </c>
      <c r="P61" s="277" t="str">
        <f>IF(Contents!$B$2=2,"Yes","Да")</f>
        <v>Да</v>
      </c>
      <c r="R61" s="273"/>
      <c r="S61" s="56"/>
      <c r="T61" s="56"/>
      <c r="U61" s="273"/>
      <c r="V61" s="297"/>
      <c r="W61" s="277">
        <v>2</v>
      </c>
      <c r="X61" s="297"/>
      <c r="Y61" s="297"/>
      <c r="AA61" s="585"/>
    </row>
    <row r="62" spans="1:252" ht="36">
      <c r="B62" s="218" t="str">
        <f>IF(Contents!$B$2=2,"Percentage of environmetnal charges in the total amount of environmental expenses","Доля платежей за негативное воздействие на окружающую среду в общем объеме расходов на окружающую среду")</f>
        <v>Доля платежей за негативное воздействие на окружающую среду в общем объеме расходов на окружающую среду</v>
      </c>
      <c r="C62" s="12" t="s">
        <v>0</v>
      </c>
      <c r="D62" s="10" t="s">
        <v>185</v>
      </c>
      <c r="E62" s="10" t="s">
        <v>185</v>
      </c>
      <c r="F62" s="10" t="s">
        <v>185</v>
      </c>
      <c r="G62" s="10" t="s">
        <v>185</v>
      </c>
      <c r="H62" s="10" t="s">
        <v>185</v>
      </c>
      <c r="I62" s="54">
        <v>0.2</v>
      </c>
      <c r="J62" s="54">
        <v>0.2</v>
      </c>
      <c r="K62" s="54">
        <v>0.4</v>
      </c>
      <c r="L62" s="54">
        <v>0.3</v>
      </c>
      <c r="M62" s="54">
        <v>0.1</v>
      </c>
      <c r="N62" s="826">
        <v>0.1</v>
      </c>
      <c r="O62" s="870"/>
      <c r="P62" s="277"/>
      <c r="R62" s="273"/>
      <c r="S62" s="273"/>
      <c r="T62" s="56"/>
      <c r="U62" s="60"/>
      <c r="V62" s="297"/>
      <c r="W62" s="277">
        <v>2</v>
      </c>
      <c r="X62" s="297"/>
      <c r="Y62" s="297"/>
      <c r="AA62" s="585"/>
    </row>
    <row r="63" spans="1:252" s="1" customFormat="1">
      <c r="A63" s="251"/>
      <c r="B63" s="218"/>
      <c r="C63" s="12"/>
      <c r="D63" s="10"/>
      <c r="E63" s="10"/>
      <c r="F63" s="10"/>
      <c r="G63" s="10"/>
      <c r="H63" s="282"/>
      <c r="I63" s="282"/>
      <c r="J63" s="282"/>
      <c r="K63" s="282"/>
      <c r="L63" s="282"/>
      <c r="M63" s="282"/>
      <c r="N63" s="282"/>
      <c r="O63" s="253"/>
      <c r="P63" s="926"/>
      <c r="Q63" s="253"/>
      <c r="R63" s="273"/>
      <c r="S63" s="273"/>
      <c r="T63" s="56"/>
      <c r="U63" s="60"/>
      <c r="V63" s="297"/>
      <c r="W63" s="297"/>
      <c r="X63" s="297"/>
      <c r="Y63" s="297"/>
      <c r="Z63" s="606"/>
      <c r="AA63" s="585"/>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4"/>
      <c r="HD63" s="14"/>
      <c r="HE63" s="14"/>
      <c r="HF63" s="14"/>
      <c r="HG63" s="14"/>
      <c r="HH63" s="14"/>
      <c r="HI63" s="14"/>
      <c r="HJ63" s="14"/>
      <c r="HK63" s="14"/>
      <c r="HL63" s="14"/>
      <c r="HM63" s="14"/>
      <c r="HN63" s="14"/>
      <c r="HO63" s="14"/>
      <c r="HP63" s="14"/>
      <c r="HQ63" s="14"/>
      <c r="HR63" s="14"/>
      <c r="HS63" s="14"/>
      <c r="HT63" s="14"/>
      <c r="HU63" s="14"/>
      <c r="HV63" s="14"/>
      <c r="HW63" s="14"/>
      <c r="HX63" s="14"/>
      <c r="HY63" s="14"/>
      <c r="HZ63" s="14"/>
      <c r="IA63" s="14"/>
      <c r="IB63" s="14"/>
      <c r="IC63" s="14"/>
      <c r="ID63" s="14"/>
      <c r="IE63" s="14"/>
      <c r="IF63" s="14"/>
      <c r="IG63" s="14"/>
      <c r="IH63" s="14"/>
      <c r="II63" s="14"/>
      <c r="IJ63" s="14"/>
      <c r="IK63" s="14"/>
      <c r="IL63" s="14"/>
      <c r="IM63" s="14"/>
      <c r="IN63" s="14"/>
      <c r="IO63" s="14"/>
      <c r="IP63" s="14"/>
      <c r="IQ63" s="14"/>
      <c r="IR63" s="14"/>
    </row>
    <row r="64" spans="1:252" s="1" customFormat="1">
      <c r="A64" s="116"/>
      <c r="B64" s="25" t="str">
        <f>IF(Contents!$B$2=2,"Notes:","Примечания:")</f>
        <v>Примечания:</v>
      </c>
      <c r="C64" s="61"/>
      <c r="D64" s="62"/>
      <c r="E64" s="62"/>
      <c r="F64" s="62"/>
      <c r="G64" s="62"/>
      <c r="H64" s="62"/>
      <c r="I64" s="62"/>
      <c r="J64" s="62"/>
      <c r="K64" s="62"/>
      <c r="L64" s="825"/>
      <c r="M64" s="63"/>
      <c r="N64" s="253"/>
      <c r="P64" s="56"/>
      <c r="R64" s="56"/>
      <c r="S64" s="56"/>
      <c r="T64" s="56"/>
      <c r="U64" s="60"/>
      <c r="V64" s="56"/>
      <c r="W64" s="56"/>
      <c r="X64" s="56"/>
      <c r="Y64" s="56"/>
      <c r="Z64" s="606"/>
      <c r="AA64" s="585"/>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row>
    <row r="65" spans="1:252" s="1" customFormat="1">
      <c r="A65" s="116"/>
      <c r="B65" s="65" t="str">
        <f>IF(Contents!$B$2=2,B257,B258)</f>
        <v>Доля платежей за негативное воздействие на окружающую среду в общем объеме расходов на окружающую среду рассчитывается как отношение платежей за негативное воздействие на окружающую среду к сумме расходов на охрану окружающей среды и платежей за негативное воздействие на окружающую среду.</v>
      </c>
      <c r="C65" s="65"/>
      <c r="D65" s="65"/>
      <c r="E65" s="65"/>
      <c r="F65" s="65"/>
      <c r="G65" s="65"/>
      <c r="H65" s="65"/>
      <c r="I65" s="65"/>
      <c r="J65" s="65"/>
      <c r="K65" s="65"/>
      <c r="L65" s="65"/>
      <c r="M65" s="65"/>
      <c r="N65" s="65"/>
      <c r="O65" s="253"/>
      <c r="P65" s="56"/>
      <c r="Q65" s="253"/>
      <c r="R65" s="56"/>
      <c r="S65" s="56"/>
      <c r="T65" s="56"/>
      <c r="U65" s="60"/>
      <c r="V65" s="56"/>
      <c r="W65" s="56"/>
      <c r="X65" s="56"/>
      <c r="Y65" s="56"/>
      <c r="Z65" s="606"/>
      <c r="AA65" s="585"/>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row>
    <row r="66" spans="1:252" s="1" customFormat="1">
      <c r="A66" s="251"/>
      <c r="B66" s="43"/>
      <c r="C66" s="43"/>
      <c r="D66" s="43"/>
      <c r="E66" s="43"/>
      <c r="F66" s="43"/>
      <c r="G66" s="43"/>
      <c r="H66" s="43"/>
      <c r="I66" s="43"/>
      <c r="J66" s="43"/>
      <c r="K66" s="43"/>
      <c r="L66" s="43"/>
      <c r="M66" s="43"/>
      <c r="N66" s="43"/>
      <c r="O66" s="253"/>
      <c r="P66" s="606"/>
      <c r="Q66" s="253"/>
      <c r="R66" s="606"/>
      <c r="S66" s="606"/>
      <c r="T66" s="606"/>
      <c r="U66" s="606"/>
      <c r="V66" s="606"/>
      <c r="W66" s="606"/>
      <c r="X66" s="606"/>
      <c r="Y66" s="606"/>
      <c r="Z66" s="606"/>
      <c r="AA66" s="585"/>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row>
    <row r="67" spans="1:252" ht="37.5" customHeight="1">
      <c r="B67" s="291" t="str">
        <f>IF(Contents!$B$2=2,"Expenses on compensation and fines for violating environmental laws","Затраты на компенсации и штрафы за нарушения природоохранного законодательства")</f>
        <v>Затраты на компенсации и штрафы за нарушения природоохранного законодательства</v>
      </c>
      <c r="C67" s="42" t="str">
        <f>IF(Contents!$B$2=2,"RR th.","тыс. руб.")</f>
        <v>тыс. руб.</v>
      </c>
      <c r="D67" s="247" t="s">
        <v>185</v>
      </c>
      <c r="E67" s="247" t="s">
        <v>185</v>
      </c>
      <c r="F67" s="247" t="s">
        <v>185</v>
      </c>
      <c r="G67" s="247" t="s">
        <v>185</v>
      </c>
      <c r="H67" s="247" t="s">
        <v>185</v>
      </c>
      <c r="I67" s="247">
        <v>1660</v>
      </c>
      <c r="J67" s="247">
        <v>1432</v>
      </c>
      <c r="K67" s="247">
        <v>973</v>
      </c>
      <c r="L67" s="247">
        <v>1858</v>
      </c>
      <c r="M67" s="247">
        <v>316</v>
      </c>
      <c r="N67" s="247">
        <v>259</v>
      </c>
      <c r="P67" s="277" t="str">
        <f>IF(Contents!$B$2=2,"Yes","Да")</f>
        <v>Да</v>
      </c>
      <c r="R67" s="273" t="s">
        <v>90</v>
      </c>
      <c r="S67" s="273"/>
      <c r="T67" s="56"/>
      <c r="U67" s="273" t="str">
        <f>IF(Contents!$B$2=2,"PBCS 16","СОКБ 16")</f>
        <v>СОКБ 16</v>
      </c>
      <c r="V67" s="297"/>
      <c r="W67" s="277">
        <v>2</v>
      </c>
      <c r="X67" s="277"/>
      <c r="Y67" s="297"/>
      <c r="AA67" s="585"/>
    </row>
    <row r="68" spans="1:252" s="1" customFormat="1">
      <c r="A68" s="251"/>
      <c r="B68" s="23" t="str">
        <f>IF(Contents!$B$2=2,"by type","по типу")</f>
        <v>по типу</v>
      </c>
      <c r="C68" s="283"/>
      <c r="D68" s="283"/>
      <c r="E68" s="283"/>
      <c r="F68" s="283"/>
      <c r="G68" s="283"/>
      <c r="H68" s="283"/>
      <c r="I68" s="283"/>
      <c r="J68" s="283"/>
      <c r="K68" s="283"/>
      <c r="L68" s="283"/>
      <c r="M68" s="283"/>
      <c r="N68" s="283"/>
      <c r="O68" s="253"/>
      <c r="P68" s="277"/>
      <c r="Q68" s="253"/>
      <c r="R68" s="606"/>
      <c r="S68" s="606"/>
      <c r="T68" s="606"/>
      <c r="U68" s="606"/>
      <c r="V68" s="606"/>
      <c r="W68" s="606"/>
      <c r="X68" s="606"/>
      <c r="Y68" s="606"/>
      <c r="Z68" s="606"/>
      <c r="AA68" s="585"/>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row>
    <row r="69" spans="1:252" s="1" customFormat="1" ht="41.25" customHeight="1">
      <c r="A69" s="251"/>
      <c r="B69" s="284" t="str">
        <f>IF(Contents!$B$2=2,"Fines and penalties for violating environmental laws","Штрафы и взыскания за нарушения природоохранного законодательства")</f>
        <v>Штрафы и взыскания за нарушения природоохранного законодательства</v>
      </c>
      <c r="C69" s="12" t="str">
        <f>IF(Contents!$B$2=2,"RR th.","тыс. руб.")</f>
        <v>тыс. руб.</v>
      </c>
      <c r="D69" s="10" t="s">
        <v>185</v>
      </c>
      <c r="E69" s="10" t="s">
        <v>185</v>
      </c>
      <c r="F69" s="10" t="s">
        <v>185</v>
      </c>
      <c r="G69" s="10" t="s">
        <v>185</v>
      </c>
      <c r="H69" s="10" t="s">
        <v>185</v>
      </c>
      <c r="I69" s="10">
        <v>1660</v>
      </c>
      <c r="J69" s="10">
        <v>1432</v>
      </c>
      <c r="K69" s="10">
        <v>973</v>
      </c>
      <c r="L69" s="10">
        <v>1858</v>
      </c>
      <c r="M69" s="10">
        <v>316</v>
      </c>
      <c r="N69" s="548">
        <v>259</v>
      </c>
      <c r="O69" s="253"/>
      <c r="P69" s="277" t="str">
        <f>IF(Contents!$B$2=2,"Yes","Да")</f>
        <v>Да</v>
      </c>
      <c r="Q69" s="253"/>
      <c r="R69" s="273" t="s">
        <v>90</v>
      </c>
      <c r="S69" s="273"/>
      <c r="T69" s="56"/>
      <c r="U69" s="273" t="str">
        <f>IF(Contents!$B$2=2,"PBCS 16","СОКБ 16")</f>
        <v>СОКБ 16</v>
      </c>
      <c r="V69" s="297"/>
      <c r="W69" s="277">
        <v>2</v>
      </c>
      <c r="X69" s="297"/>
      <c r="Y69" s="297"/>
      <c r="Z69" s="606"/>
      <c r="AA69" s="585"/>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row>
    <row r="70" spans="1:252" s="1" customFormat="1">
      <c r="A70" s="251"/>
      <c r="B70" s="285" t="str">
        <f>IF(Contents!$B$2=2,"for cases of non-compliance with laws and regulations in the reporting year","за случаи несоблюдения законов и правил в отчетном году")</f>
        <v>за случаи несоблюдения законов и правил в отчетном году</v>
      </c>
      <c r="C70" s="12" t="str">
        <f>IF(Contents!$B$2=2,"RR th.","тыс. руб.")</f>
        <v>тыс. руб.</v>
      </c>
      <c r="D70" s="10" t="s">
        <v>185</v>
      </c>
      <c r="E70" s="10" t="s">
        <v>185</v>
      </c>
      <c r="F70" s="10" t="s">
        <v>185</v>
      </c>
      <c r="G70" s="10" t="s">
        <v>185</v>
      </c>
      <c r="H70" s="10" t="s">
        <v>185</v>
      </c>
      <c r="I70" s="343">
        <v>1660</v>
      </c>
      <c r="J70" s="10">
        <v>1432</v>
      </c>
      <c r="K70" s="10">
        <v>973</v>
      </c>
      <c r="L70" s="10">
        <v>150</v>
      </c>
      <c r="M70" s="10">
        <v>240</v>
      </c>
      <c r="N70" s="790">
        <v>140</v>
      </c>
      <c r="O70" s="253"/>
      <c r="P70" s="277" t="str">
        <f>IF(Contents!$B$2=2,"Yes","Да")</f>
        <v>Да</v>
      </c>
      <c r="Q70" s="253"/>
      <c r="R70" s="273"/>
      <c r="S70" s="56"/>
      <c r="T70" s="56"/>
      <c r="U70" s="273"/>
      <c r="V70" s="297"/>
      <c r="W70" s="277">
        <v>2</v>
      </c>
      <c r="X70" s="297"/>
      <c r="Y70" s="297"/>
      <c r="Z70" s="606"/>
      <c r="AA70" s="585"/>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row>
    <row r="71" spans="1:252">
      <c r="B71" s="285" t="str">
        <f>IF(Contents!$B$2=2,"for cases of non-compliance with laws and regulations in previous years","за случаи несоблюдения законов и правил в предыдущих годах")</f>
        <v>за случаи несоблюдения законов и правил в предыдущих годах</v>
      </c>
      <c r="C71" s="12" t="str">
        <f>IF(Contents!$B$2=2,"RR th.","тыс. руб.")</f>
        <v>тыс. руб.</v>
      </c>
      <c r="D71" s="10" t="s">
        <v>185</v>
      </c>
      <c r="E71" s="10" t="s">
        <v>185</v>
      </c>
      <c r="F71" s="10" t="s">
        <v>185</v>
      </c>
      <c r="G71" s="10" t="s">
        <v>185</v>
      </c>
      <c r="H71" s="10" t="s">
        <v>185</v>
      </c>
      <c r="I71" s="343" t="s">
        <v>185</v>
      </c>
      <c r="J71" s="343" t="s">
        <v>185</v>
      </c>
      <c r="K71" s="506" t="s">
        <v>185</v>
      </c>
      <c r="L71" s="678">
        <v>1708</v>
      </c>
      <c r="M71" s="678">
        <v>76</v>
      </c>
      <c r="N71" s="790">
        <v>119</v>
      </c>
      <c r="P71" s="277" t="str">
        <f>IF(Contents!$B$2=2,"Yes","Да")</f>
        <v>Да</v>
      </c>
      <c r="R71" s="273"/>
      <c r="S71" s="56"/>
      <c r="T71" s="56"/>
      <c r="U71" s="273"/>
      <c r="V71" s="297"/>
      <c r="W71" s="277">
        <v>2</v>
      </c>
      <c r="X71" s="297"/>
      <c r="Y71" s="297"/>
      <c r="AA71" s="585"/>
    </row>
    <row r="72" spans="1:252" s="1" customFormat="1" ht="33.75" customHeight="1">
      <c r="A72" s="251"/>
      <c r="B72" s="284" t="str">
        <f>IF(Contents!$B$2=2,"Compensation for damage caused to the environment and its components","Компенсация вреда (ущерба), причиненного окружающей среде и ее компонентам")</f>
        <v>Компенсация вреда (ущерба), причиненного окружающей среде и ее компонентам</v>
      </c>
      <c r="C72" s="12" t="str">
        <f>IF(Contents!$B$2=2,"RR th.","тыс. руб.")</f>
        <v>тыс. руб.</v>
      </c>
      <c r="D72" s="10" t="s">
        <v>185</v>
      </c>
      <c r="E72" s="10" t="s">
        <v>185</v>
      </c>
      <c r="F72" s="10" t="s">
        <v>185</v>
      </c>
      <c r="G72" s="10" t="s">
        <v>185</v>
      </c>
      <c r="H72" s="10" t="s">
        <v>185</v>
      </c>
      <c r="I72" s="10" t="s">
        <v>185</v>
      </c>
      <c r="J72" s="10" t="s">
        <v>185</v>
      </c>
      <c r="K72" s="10" t="s">
        <v>185</v>
      </c>
      <c r="L72" s="10" t="s">
        <v>185</v>
      </c>
      <c r="M72" s="10">
        <v>0</v>
      </c>
      <c r="N72" s="548">
        <v>0</v>
      </c>
      <c r="O72" s="253"/>
      <c r="P72" s="926"/>
      <c r="Q72" s="253"/>
      <c r="R72" s="273"/>
      <c r="S72" s="273"/>
      <c r="T72" s="56"/>
      <c r="U72" s="273" t="str">
        <f>IF(Contents!$B$2=2,"PBCS 16","СОКБ 16")</f>
        <v>СОКБ 16</v>
      </c>
      <c r="V72" s="297"/>
      <c r="W72" s="277">
        <v>2</v>
      </c>
      <c r="X72" s="297"/>
      <c r="Y72" s="297"/>
      <c r="Z72" s="606"/>
      <c r="AA72" s="585"/>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row>
    <row r="73" spans="1:252" s="1" customFormat="1">
      <c r="A73" s="251"/>
      <c r="B73" s="284"/>
      <c r="C73" s="281"/>
      <c r="D73" s="10"/>
      <c r="E73" s="10"/>
      <c r="F73" s="10"/>
      <c r="G73" s="10"/>
      <c r="H73" s="10"/>
      <c r="I73" s="282"/>
      <c r="J73" s="282"/>
      <c r="K73" s="282"/>
      <c r="L73" s="282"/>
      <c r="M73" s="282"/>
      <c r="N73" s="282"/>
      <c r="O73" s="253"/>
      <c r="P73" s="926"/>
      <c r="Q73" s="253"/>
      <c r="R73" s="273"/>
      <c r="S73" s="273"/>
      <c r="T73" s="56"/>
      <c r="U73" s="60"/>
      <c r="V73" s="297"/>
      <c r="W73" s="297"/>
      <c r="X73" s="297"/>
      <c r="Y73" s="297"/>
      <c r="Z73" s="606"/>
      <c r="AA73" s="585"/>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row>
    <row r="74" spans="1:252" s="1" customFormat="1">
      <c r="A74" s="116"/>
      <c r="B74" s="25" t="str">
        <f>IF(Contents!$B$2=2,"Notes:","Примечания:")</f>
        <v>Примечания:</v>
      </c>
      <c r="C74" s="61"/>
      <c r="D74" s="62"/>
      <c r="E74" s="62"/>
      <c r="F74" s="62"/>
      <c r="G74" s="62"/>
      <c r="H74" s="62"/>
      <c r="I74" s="62"/>
      <c r="J74" s="62"/>
      <c r="K74" s="62"/>
      <c r="L74" s="62"/>
      <c r="M74" s="62"/>
      <c r="N74" s="63"/>
      <c r="O74" s="253"/>
      <c r="P74" s="56"/>
      <c r="Q74" s="253"/>
      <c r="R74" s="56"/>
      <c r="S74" s="56"/>
      <c r="T74" s="56"/>
      <c r="U74" s="60"/>
      <c r="V74" s="56"/>
      <c r="W74" s="56"/>
      <c r="X74" s="56"/>
      <c r="Y74" s="56"/>
      <c r="Z74" s="606"/>
      <c r="AA74" s="585"/>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row>
    <row r="75" spans="1:252" s="1" customFormat="1" ht="17.850000000000001" customHeight="1">
      <c r="A75" s="251"/>
      <c r="B75" s="943" t="str">
        <f>IF(Contents!$B$2=2,"Expenses on payment of fines and penalties for violations of environmental laws in the reporting period may include fines for previous years paid in the current reporting period","Затраты на выплату штрафов и взысканий за нарушения природоохранного законодательства в отчетном периоде могут включать оплаченные в текущем отчетном периоде штрафы за прошлые года")</f>
        <v>Затраты на выплату штрафов и взысканий за нарушения природоохранного законодательства в отчетном периоде могут включать оплаченные в текущем отчетном периоде штрафы за прошлые года</v>
      </c>
      <c r="C75" s="943"/>
      <c r="D75" s="943"/>
      <c r="E75" s="943"/>
      <c r="F75" s="943"/>
      <c r="G75" s="943"/>
      <c r="H75" s="943"/>
      <c r="I75" s="943"/>
      <c r="J75" s="943"/>
      <c r="K75" s="943"/>
      <c r="L75" s="943"/>
      <c r="M75" s="943"/>
      <c r="N75" s="943"/>
      <c r="O75" s="253"/>
      <c r="P75" s="56"/>
      <c r="Q75" s="253"/>
      <c r="R75" s="56"/>
      <c r="S75" s="56"/>
      <c r="T75" s="56"/>
      <c r="U75" s="60"/>
      <c r="V75" s="56"/>
      <c r="W75" s="56"/>
      <c r="X75" s="56"/>
      <c r="Y75" s="56"/>
      <c r="Z75" s="606"/>
      <c r="AA75" s="585"/>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row>
    <row r="76" spans="1:252" s="1" customFormat="1" ht="33.75" customHeight="1">
      <c r="A76" s="251"/>
      <c r="B76" s="943" t="str">
        <f>IF(Contents!$B$2=2,B260,B261)</f>
        <v>Затраты на компенсацию ущерба рассчитываются как общая сумма компенсации вреда (ущерба), причиненного окружающей среде, отдельным компонентам природной среды (землям, водным объектам, лесам, животному миру и др.), уплаченной организацией в отчетном периоде</v>
      </c>
      <c r="C76" s="943"/>
      <c r="D76" s="943"/>
      <c r="E76" s="943"/>
      <c r="F76" s="943"/>
      <c r="G76" s="943"/>
      <c r="H76" s="943"/>
      <c r="I76" s="943"/>
      <c r="J76" s="943"/>
      <c r="K76" s="943"/>
      <c r="L76" s="943"/>
      <c r="M76" s="943"/>
      <c r="N76" s="943"/>
      <c r="O76" s="253"/>
      <c r="P76" s="926"/>
      <c r="Q76" s="253"/>
      <c r="R76" s="273"/>
      <c r="S76" s="273"/>
      <c r="T76" s="56"/>
      <c r="U76" s="60"/>
      <c r="V76" s="297"/>
      <c r="W76" s="297"/>
      <c r="X76" s="297"/>
      <c r="Y76" s="297"/>
      <c r="Z76" s="606"/>
      <c r="AA76" s="585"/>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row>
    <row r="77" spans="1:252" s="1" customFormat="1">
      <c r="A77" s="251"/>
      <c r="B77" s="230"/>
      <c r="C77" s="281"/>
      <c r="D77" s="10"/>
      <c r="E77" s="10"/>
      <c r="F77" s="10"/>
      <c r="G77" s="10"/>
      <c r="H77" s="10"/>
      <c r="I77" s="10"/>
      <c r="J77" s="10"/>
      <c r="K77" s="10"/>
      <c r="L77" s="10"/>
      <c r="M77" s="10"/>
      <c r="N77" s="10"/>
      <c r="O77" s="253"/>
      <c r="P77" s="926"/>
      <c r="Q77" s="253"/>
      <c r="R77" s="273"/>
      <c r="S77" s="273"/>
      <c r="T77" s="56"/>
      <c r="U77" s="60"/>
      <c r="V77" s="297"/>
      <c r="W77" s="297"/>
      <c r="X77" s="297"/>
      <c r="Y77" s="297"/>
      <c r="Z77" s="606"/>
      <c r="AA77" s="585"/>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row>
    <row r="78" spans="1:252" s="1" customFormat="1" ht="20.100000000000001" customHeight="1">
      <c r="A78" s="251"/>
      <c r="B78" s="272" t="str">
        <f>IF(Contents!$B$2=2,"Emissions of pollutants","Выбросы загрязняющих веществ")</f>
        <v>Выбросы загрязняющих веществ</v>
      </c>
      <c r="C78" s="272"/>
      <c r="D78" s="272"/>
      <c r="E78" s="272"/>
      <c r="F78" s="272"/>
      <c r="G78" s="272"/>
      <c r="H78" s="272"/>
      <c r="I78" s="272"/>
      <c r="J78" s="272"/>
      <c r="K78" s="272"/>
      <c r="L78" s="272"/>
      <c r="M78" s="272"/>
      <c r="N78" s="272"/>
      <c r="O78" s="253"/>
      <c r="P78" s="618"/>
      <c r="Q78" s="253"/>
      <c r="R78" s="618"/>
      <c r="S78" s="618"/>
      <c r="T78" s="618"/>
      <c r="U78" s="618"/>
      <c r="V78" s="618"/>
      <c r="W78" s="618"/>
      <c r="X78" s="618"/>
      <c r="Y78" s="618"/>
      <c r="Z78" s="606"/>
      <c r="AA78" s="585"/>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4"/>
      <c r="HD78" s="14"/>
      <c r="HE78" s="14"/>
      <c r="HF78" s="14"/>
      <c r="HG78" s="14"/>
      <c r="HH78" s="14"/>
      <c r="HI78" s="14"/>
      <c r="HJ78" s="14"/>
      <c r="HK78" s="14"/>
      <c r="HL78" s="14"/>
      <c r="HM78" s="14"/>
      <c r="HN78" s="14"/>
      <c r="HO78" s="14"/>
      <c r="HP78" s="14"/>
      <c r="HQ78" s="14"/>
      <c r="HR78" s="14"/>
      <c r="HS78" s="14"/>
      <c r="HT78" s="14"/>
      <c r="HU78" s="14"/>
      <c r="HV78" s="14"/>
      <c r="HW78" s="14"/>
      <c r="HX78" s="14"/>
      <c r="HY78" s="14"/>
      <c r="HZ78" s="14"/>
      <c r="IA78" s="14"/>
      <c r="IB78" s="14"/>
      <c r="IC78" s="14"/>
      <c r="ID78" s="14"/>
      <c r="IE78" s="14"/>
      <c r="IF78" s="14"/>
      <c r="IG78" s="14"/>
      <c r="IH78" s="14"/>
      <c r="II78" s="14"/>
      <c r="IJ78" s="14"/>
      <c r="IK78" s="14"/>
      <c r="IL78" s="14"/>
      <c r="IM78" s="14"/>
      <c r="IN78" s="14"/>
      <c r="IO78" s="14"/>
      <c r="IP78" s="14"/>
      <c r="IQ78" s="14"/>
      <c r="IR78" s="14"/>
    </row>
    <row r="79" spans="1:252" s="1" customFormat="1" ht="25.5">
      <c r="A79" s="251"/>
      <c r="B79" s="75" t="str">
        <f>IF(Contents!$B$2=2,"Emissions of pollutants","Выбросы загрязняющих веществ")</f>
        <v>Выбросы загрязняющих веществ</v>
      </c>
      <c r="C79" s="42" t="str">
        <f>IF(Contents!$B$2=2,"tons","т")</f>
        <v>т</v>
      </c>
      <c r="D79" s="295" t="s">
        <v>185</v>
      </c>
      <c r="E79" s="295" t="s">
        <v>185</v>
      </c>
      <c r="F79" s="296">
        <v>91950</v>
      </c>
      <c r="G79" s="296">
        <v>70303</v>
      </c>
      <c r="H79" s="296">
        <v>75603</v>
      </c>
      <c r="I79" s="296">
        <v>87273</v>
      </c>
      <c r="J79" s="296">
        <v>82381.72</v>
      </c>
      <c r="K79" s="296">
        <v>70796</v>
      </c>
      <c r="L79" s="296">
        <v>65779</v>
      </c>
      <c r="M79" s="296">
        <v>56049</v>
      </c>
      <c r="N79" s="296">
        <v>80327.621187118595</v>
      </c>
      <c r="O79" s="253"/>
      <c r="P79" s="277" t="str">
        <f>IF(Contents!$B$2=2,"Yes","Да")</f>
        <v>Да</v>
      </c>
      <c r="Q79" s="511"/>
      <c r="R79" s="273" t="s">
        <v>92</v>
      </c>
      <c r="S79" s="273" t="s">
        <v>93</v>
      </c>
      <c r="T79" s="273" t="s">
        <v>94</v>
      </c>
      <c r="U79" s="273" t="str">
        <f>IF(Contents!$B$2=2,"PBCS 7","СОКБ 7")</f>
        <v>СОКБ 7</v>
      </c>
      <c r="V79" s="273"/>
      <c r="W79" s="277">
        <v>2</v>
      </c>
      <c r="X79" s="277"/>
      <c r="Y79" s="273"/>
      <c r="Z79" s="606"/>
      <c r="AA79" s="585"/>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c r="IJ79" s="14"/>
      <c r="IK79" s="14"/>
      <c r="IL79" s="14"/>
      <c r="IM79" s="14"/>
      <c r="IN79" s="14"/>
      <c r="IO79" s="14"/>
      <c r="IP79" s="14"/>
      <c r="IQ79" s="14"/>
      <c r="IR79" s="14"/>
    </row>
    <row r="80" spans="1:252" s="1" customFormat="1">
      <c r="A80" s="251"/>
      <c r="B80" s="11" t="str">
        <f>IF(Contents!$B$2=2,"Air emissions in cities","Из них в городах")</f>
        <v>Из них в городах</v>
      </c>
      <c r="C80" s="12" t="str">
        <f>IF(Contents!$B$2=2,"tons","т")</f>
        <v>т</v>
      </c>
      <c r="D80" s="10" t="s">
        <v>185</v>
      </c>
      <c r="E80" s="10" t="s">
        <v>185</v>
      </c>
      <c r="F80" s="10" t="s">
        <v>185</v>
      </c>
      <c r="G80" s="10" t="s">
        <v>185</v>
      </c>
      <c r="H80" s="10">
        <v>15</v>
      </c>
      <c r="I80" s="10">
        <v>19</v>
      </c>
      <c r="J80" s="10">
        <v>51</v>
      </c>
      <c r="K80" s="10">
        <v>84</v>
      </c>
      <c r="L80" s="10">
        <v>314</v>
      </c>
      <c r="M80" s="10">
        <v>785</v>
      </c>
      <c r="N80" s="10">
        <v>601</v>
      </c>
      <c r="O80" s="253"/>
      <c r="P80" s="277" t="str">
        <f>IF(Contents!$B$2=2,"Yes","Да")</f>
        <v>Да</v>
      </c>
      <c r="Q80" s="511"/>
      <c r="R80" s="297"/>
      <c r="S80" s="56"/>
      <c r="T80" s="56"/>
      <c r="U80" s="60"/>
      <c r="V80" s="297"/>
      <c r="W80" s="277">
        <v>2</v>
      </c>
      <c r="X80" s="277"/>
      <c r="Y80" s="297"/>
      <c r="Z80" s="606"/>
      <c r="AA80" s="585"/>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row>
    <row r="81" spans="1:252" s="1" customFormat="1">
      <c r="A81" s="251"/>
      <c r="B81" s="23" t="str">
        <f>IF(Contents!$B$2=2,"by air emission type","по виду выбрасываемых веществ")</f>
        <v>по виду выбрасываемых веществ</v>
      </c>
      <c r="C81" s="13"/>
      <c r="D81" s="298"/>
      <c r="E81" s="298"/>
      <c r="F81" s="298"/>
      <c r="G81" s="298"/>
      <c r="H81" s="298"/>
      <c r="I81" s="298"/>
      <c r="J81" s="298"/>
      <c r="K81" s="298"/>
      <c r="L81" s="298"/>
      <c r="M81" s="298"/>
      <c r="N81" s="298"/>
      <c r="O81" s="253"/>
      <c r="P81" s="613"/>
      <c r="Q81" s="511"/>
      <c r="R81" s="273"/>
      <c r="S81" s="273"/>
      <c r="T81" s="273"/>
      <c r="U81" s="273"/>
      <c r="V81" s="613"/>
      <c r="W81" s="613"/>
      <c r="X81" s="613"/>
      <c r="Y81" s="613"/>
      <c r="Z81" s="606"/>
      <c r="AA81" s="585"/>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row>
    <row r="82" spans="1:252" s="1" customFormat="1">
      <c r="A82" s="251"/>
      <c r="B82" s="11" t="str">
        <f>IF(Contents!$B$2=2,"Particulate matter","Твердые вещества")</f>
        <v>Твердые вещества</v>
      </c>
      <c r="C82" s="12" t="str">
        <f>IF(Contents!$B$2=2,"tons","т")</f>
        <v>т</v>
      </c>
      <c r="D82" s="10" t="s">
        <v>185</v>
      </c>
      <c r="E82" s="10" t="s">
        <v>185</v>
      </c>
      <c r="F82" s="205">
        <v>6788</v>
      </c>
      <c r="G82" s="205">
        <v>3874</v>
      </c>
      <c r="H82" s="205">
        <v>2697</v>
      </c>
      <c r="I82" s="205">
        <v>5590</v>
      </c>
      <c r="J82" s="205">
        <v>4129.72</v>
      </c>
      <c r="K82" s="205">
        <v>2819</v>
      </c>
      <c r="L82" s="205">
        <v>1190</v>
      </c>
      <c r="M82" s="205">
        <v>1125</v>
      </c>
      <c r="N82" s="98">
        <v>1414.9961762896</v>
      </c>
      <c r="O82" s="253"/>
      <c r="P82" s="277" t="str">
        <f>IF(Contents!$B$2=2,"Yes","Да")</f>
        <v>Да</v>
      </c>
      <c r="Q82" s="511"/>
      <c r="R82" s="56"/>
      <c r="S82" s="56"/>
      <c r="T82" s="56"/>
      <c r="U82" s="299"/>
      <c r="V82" s="297"/>
      <c r="W82" s="277">
        <v>2</v>
      </c>
      <c r="X82" s="277"/>
      <c r="Y82" s="297"/>
      <c r="Z82" s="606"/>
      <c r="AA82" s="585"/>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c r="IJ82" s="14"/>
      <c r="IK82" s="14"/>
      <c r="IL82" s="14"/>
      <c r="IM82" s="14"/>
      <c r="IN82" s="14"/>
      <c r="IO82" s="14"/>
      <c r="IP82" s="14"/>
      <c r="IQ82" s="14"/>
      <c r="IR82" s="14"/>
    </row>
    <row r="83" spans="1:252" s="1" customFormat="1">
      <c r="A83" s="251"/>
      <c r="B83" s="11" t="str">
        <f>IF(Contents!$B$2=2,"Carbon monoxide","Оксид углерода")</f>
        <v>Оксид углерода</v>
      </c>
      <c r="C83" s="12" t="str">
        <f>IF(Contents!$B$2=2,"tons","т")</f>
        <v>т</v>
      </c>
      <c r="D83" s="10" t="s">
        <v>185</v>
      </c>
      <c r="E83" s="10" t="s">
        <v>185</v>
      </c>
      <c r="F83" s="205">
        <v>56705</v>
      </c>
      <c r="G83" s="205">
        <v>37387</v>
      </c>
      <c r="H83" s="205">
        <v>40059</v>
      </c>
      <c r="I83" s="205">
        <v>48114</v>
      </c>
      <c r="J83" s="205">
        <v>43733</v>
      </c>
      <c r="K83" s="205">
        <v>34949</v>
      </c>
      <c r="L83" s="205">
        <v>31086</v>
      </c>
      <c r="M83" s="205">
        <v>23242</v>
      </c>
      <c r="N83" s="98">
        <v>43960.890792685001</v>
      </c>
      <c r="O83" s="253"/>
      <c r="P83" s="277" t="str">
        <f>IF(Contents!$B$2=2,"Yes","Да")</f>
        <v>Да</v>
      </c>
      <c r="Q83" s="511"/>
      <c r="R83" s="56"/>
      <c r="S83" s="56"/>
      <c r="T83" s="56"/>
      <c r="U83" s="299"/>
      <c r="V83" s="297"/>
      <c r="W83" s="277">
        <v>2</v>
      </c>
      <c r="X83" s="277"/>
      <c r="Y83" s="297"/>
      <c r="Z83" s="606"/>
      <c r="AA83" s="585"/>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c r="IQ83" s="14"/>
      <c r="IR83" s="14"/>
    </row>
    <row r="84" spans="1:252">
      <c r="B84" s="11" t="str">
        <f>IF(Contents!$B$2=2,"NOx (as NO2 equivalent)","Оксиды азота (в пересчете на NO2)")</f>
        <v>Оксиды азота (в пересчете на NO2)</v>
      </c>
      <c r="C84" s="12" t="str">
        <f>IF(Contents!$B$2=2,"tons","т")</f>
        <v>т</v>
      </c>
      <c r="D84" s="10" t="s">
        <v>185</v>
      </c>
      <c r="E84" s="10" t="s">
        <v>185</v>
      </c>
      <c r="F84" s="205">
        <v>8483</v>
      </c>
      <c r="G84" s="205">
        <v>8467</v>
      </c>
      <c r="H84" s="205">
        <v>13296</v>
      </c>
      <c r="I84" s="205">
        <v>11083</v>
      </c>
      <c r="J84" s="205">
        <v>13991</v>
      </c>
      <c r="K84" s="205">
        <v>13083</v>
      </c>
      <c r="L84" s="205">
        <v>12471</v>
      </c>
      <c r="M84" s="205">
        <v>11003</v>
      </c>
      <c r="N84" s="98">
        <v>13111.78907586208</v>
      </c>
      <c r="P84" s="277" t="str">
        <f>IF(Contents!$B$2=2,"Yes","Да")</f>
        <v>Да</v>
      </c>
      <c r="Q84" s="511"/>
      <c r="R84" s="297"/>
      <c r="S84" s="56"/>
      <c r="T84" s="56"/>
      <c r="U84" s="60"/>
      <c r="V84" s="56"/>
      <c r="W84" s="277">
        <v>2</v>
      </c>
      <c r="X84" s="277"/>
      <c r="Y84" s="56"/>
      <c r="AA84" s="585"/>
    </row>
    <row r="85" spans="1:252" s="1" customFormat="1">
      <c r="A85" s="251"/>
      <c r="B85" s="11" t="str">
        <f>IF(Contents!$B$2=2,"SOx (SO2 emissions)","Диоксид серы (выбросы SO2)")</f>
        <v>Диоксид серы (выбросы SO2)</v>
      </c>
      <c r="C85" s="12" t="str">
        <f>IF(Contents!$B$2=2,"tons","т")</f>
        <v>т</v>
      </c>
      <c r="D85" s="10" t="s">
        <v>185</v>
      </c>
      <c r="E85" s="10" t="s">
        <v>185</v>
      </c>
      <c r="F85" s="205">
        <v>21</v>
      </c>
      <c r="G85" s="205">
        <v>28</v>
      </c>
      <c r="H85" s="205">
        <v>62</v>
      </c>
      <c r="I85" s="205">
        <v>78</v>
      </c>
      <c r="J85" s="205">
        <v>76</v>
      </c>
      <c r="K85" s="205">
        <v>399</v>
      </c>
      <c r="L85" s="205">
        <v>74</v>
      </c>
      <c r="M85" s="205">
        <v>202</v>
      </c>
      <c r="N85" s="98">
        <v>260.65298269139998</v>
      </c>
      <c r="O85" s="253"/>
      <c r="P85" s="277" t="str">
        <f>IF(Contents!$B$2=2,"Yes","Да")</f>
        <v>Да</v>
      </c>
      <c r="Q85" s="511"/>
      <c r="R85" s="56"/>
      <c r="S85" s="56"/>
      <c r="T85" s="56"/>
      <c r="U85" s="60"/>
      <c r="V85" s="56"/>
      <c r="W85" s="277">
        <v>2</v>
      </c>
      <c r="X85" s="277"/>
      <c r="Y85" s="56"/>
      <c r="Z85" s="606"/>
      <c r="AA85" s="585"/>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c r="IJ85" s="14"/>
      <c r="IK85" s="14"/>
      <c r="IL85" s="14"/>
      <c r="IM85" s="14"/>
      <c r="IN85" s="14"/>
      <c r="IO85" s="14"/>
      <c r="IP85" s="14"/>
      <c r="IQ85" s="14"/>
      <c r="IR85" s="14"/>
    </row>
    <row r="86" spans="1:252" s="1" customFormat="1">
      <c r="A86" s="251"/>
      <c r="B86" s="11" t="str">
        <f>IF(Contents!$B$2=2,"Hydrocarbons (incl. methane)","Углеводороды (включая метан)")</f>
        <v>Углеводороды (включая метан)</v>
      </c>
      <c r="C86" s="12" t="str">
        <f>IF(Contents!$B$2=2,"tons","т")</f>
        <v>т</v>
      </c>
      <c r="D86" s="10" t="s">
        <v>185</v>
      </c>
      <c r="E86" s="10" t="s">
        <v>185</v>
      </c>
      <c r="F86" s="205">
        <v>7511</v>
      </c>
      <c r="G86" s="205">
        <v>7677</v>
      </c>
      <c r="H86" s="205">
        <v>6166</v>
      </c>
      <c r="I86" s="205">
        <v>8910</v>
      </c>
      <c r="J86" s="205">
        <v>9634</v>
      </c>
      <c r="K86" s="205">
        <v>6343</v>
      </c>
      <c r="L86" s="205">
        <v>6152</v>
      </c>
      <c r="M86" s="205">
        <v>6292</v>
      </c>
      <c r="N86" s="98">
        <v>6574.0820543010004</v>
      </c>
      <c r="O86" s="253"/>
      <c r="P86" s="277" t="str">
        <f>IF(Contents!$B$2=2,"Yes","Да")</f>
        <v>Да</v>
      </c>
      <c r="Q86" s="511"/>
      <c r="R86" s="56"/>
      <c r="S86" s="56"/>
      <c r="T86" s="56"/>
      <c r="U86" s="60"/>
      <c r="V86" s="56"/>
      <c r="W86" s="277">
        <v>2</v>
      </c>
      <c r="X86" s="277"/>
      <c r="Y86" s="56"/>
      <c r="Z86" s="606"/>
      <c r="AA86" s="585"/>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c r="IJ86" s="14"/>
      <c r="IK86" s="14"/>
      <c r="IL86" s="14"/>
      <c r="IM86" s="14"/>
      <c r="IN86" s="14"/>
      <c r="IO86" s="14"/>
      <c r="IP86" s="14"/>
      <c r="IQ86" s="14"/>
      <c r="IR86" s="14"/>
    </row>
    <row r="87" spans="1:252" s="1" customFormat="1">
      <c r="A87" s="251"/>
      <c r="B87" s="11" t="str">
        <f>IF(Contents!$B$2=2,"VOCs","ЛОС")</f>
        <v>ЛОС</v>
      </c>
      <c r="C87" s="12" t="str">
        <f>IF(Contents!$B$2=2,"tons","т")</f>
        <v>т</v>
      </c>
      <c r="D87" s="10" t="s">
        <v>185</v>
      </c>
      <c r="E87" s="10" t="s">
        <v>185</v>
      </c>
      <c r="F87" s="205">
        <v>12426</v>
      </c>
      <c r="G87" s="205">
        <v>12852</v>
      </c>
      <c r="H87" s="205">
        <v>13258</v>
      </c>
      <c r="I87" s="205">
        <v>13418</v>
      </c>
      <c r="J87" s="205">
        <v>10791</v>
      </c>
      <c r="K87" s="205">
        <v>13138</v>
      </c>
      <c r="L87" s="205">
        <v>14752</v>
      </c>
      <c r="M87" s="205">
        <v>14153</v>
      </c>
      <c r="N87" s="98">
        <v>14927.2930347523</v>
      </c>
      <c r="O87" s="253"/>
      <c r="P87" s="277" t="str">
        <f>IF(Contents!$B$2=2,"Yes","Да")</f>
        <v>Да</v>
      </c>
      <c r="Q87" s="511"/>
      <c r="R87" s="297"/>
      <c r="S87" s="56"/>
      <c r="T87" s="56"/>
      <c r="U87" s="60"/>
      <c r="V87" s="942"/>
      <c r="W87" s="277">
        <v>2</v>
      </c>
      <c r="X87" s="277"/>
      <c r="Y87" s="942"/>
      <c r="Z87" s="606"/>
      <c r="AA87" s="585"/>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c r="IJ87" s="14"/>
      <c r="IK87" s="14"/>
      <c r="IL87" s="14"/>
      <c r="IM87" s="14"/>
      <c r="IN87" s="14"/>
      <c r="IO87" s="14"/>
      <c r="IP87" s="14"/>
      <c r="IQ87" s="14"/>
      <c r="IR87" s="14"/>
    </row>
    <row r="88" spans="1:252" s="1" customFormat="1">
      <c r="A88" s="251"/>
      <c r="B88" s="11" t="str">
        <f>IF(Contents!$B$2=2,"POPs","СОЗ")</f>
        <v>СОЗ</v>
      </c>
      <c r="C88" s="12" t="str">
        <f>IF(Contents!$B$2=2,"tons","т")</f>
        <v>т</v>
      </c>
      <c r="D88" s="10" t="s">
        <v>185</v>
      </c>
      <c r="E88" s="10" t="s">
        <v>185</v>
      </c>
      <c r="F88" s="10" t="s">
        <v>185</v>
      </c>
      <c r="G88" s="10" t="s">
        <v>185</v>
      </c>
      <c r="H88" s="10" t="s">
        <v>185</v>
      </c>
      <c r="I88" s="10" t="s">
        <v>185</v>
      </c>
      <c r="J88" s="10" t="s">
        <v>185</v>
      </c>
      <c r="K88" s="10" t="s">
        <v>185</v>
      </c>
      <c r="L88" s="10" t="s">
        <v>185</v>
      </c>
      <c r="M88" s="10">
        <v>0</v>
      </c>
      <c r="N88" s="852">
        <v>0</v>
      </c>
      <c r="O88" s="253"/>
      <c r="P88" s="277" t="str">
        <f>IF(Contents!$B$2=2,"Yes","Да")</f>
        <v>Да</v>
      </c>
      <c r="Q88" s="511"/>
      <c r="R88" s="297"/>
      <c r="S88" s="56"/>
      <c r="T88" s="56"/>
      <c r="U88" s="60"/>
      <c r="V88" s="942"/>
      <c r="W88" s="297">
        <v>2</v>
      </c>
      <c r="X88" s="297"/>
      <c r="Y88" s="942"/>
      <c r="Z88" s="606"/>
      <c r="AA88" s="585"/>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c r="IJ88" s="14"/>
      <c r="IK88" s="14"/>
      <c r="IL88" s="14"/>
      <c r="IM88" s="14"/>
      <c r="IN88" s="14"/>
      <c r="IO88" s="14"/>
      <c r="IP88" s="14"/>
      <c r="IQ88" s="14"/>
      <c r="IR88" s="14"/>
    </row>
    <row r="89" spans="1:252" s="1" customFormat="1">
      <c r="A89" s="251"/>
      <c r="B89" s="11" t="str">
        <f>IF(Contents!$B$2=2,"Other","Прочие")</f>
        <v>Прочие</v>
      </c>
      <c r="C89" s="12" t="str">
        <f>IF(Contents!$B$2=2,"tons","т")</f>
        <v>т</v>
      </c>
      <c r="D89" s="10" t="s">
        <v>185</v>
      </c>
      <c r="E89" s="10" t="s">
        <v>185</v>
      </c>
      <c r="F89" s="205">
        <v>16</v>
      </c>
      <c r="G89" s="205">
        <v>18</v>
      </c>
      <c r="H89" s="205">
        <v>65</v>
      </c>
      <c r="I89" s="205">
        <v>80</v>
      </c>
      <c r="J89" s="205">
        <v>27</v>
      </c>
      <c r="K89" s="205">
        <v>65</v>
      </c>
      <c r="L89" s="205">
        <v>54</v>
      </c>
      <c r="M89" s="205">
        <v>32</v>
      </c>
      <c r="N89" s="98">
        <v>78</v>
      </c>
      <c r="O89" s="253"/>
      <c r="P89" s="277" t="str">
        <f>IF(Contents!$B$2=2,"Yes","Да")</f>
        <v>Да</v>
      </c>
      <c r="Q89" s="511"/>
      <c r="R89" s="297"/>
      <c r="S89" s="56"/>
      <c r="T89" s="56"/>
      <c r="U89" s="60"/>
      <c r="V89" s="942"/>
      <c r="W89" s="277">
        <v>2</v>
      </c>
      <c r="X89" s="277"/>
      <c r="Y89" s="942"/>
      <c r="Z89" s="606"/>
      <c r="AA89" s="585"/>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c r="IJ89" s="14"/>
      <c r="IK89" s="14"/>
      <c r="IL89" s="14"/>
      <c r="IM89" s="14"/>
      <c r="IN89" s="14"/>
      <c r="IO89" s="14"/>
      <c r="IP89" s="14"/>
      <c r="IQ89" s="14"/>
      <c r="IR89" s="14"/>
    </row>
    <row r="90" spans="1:252" s="1" customFormat="1" ht="38.1" customHeight="1">
      <c r="A90" s="251"/>
      <c r="B90" s="11" t="str">
        <f>IF(Contents!$B$2=2,"Hazardous pollutants (benz (a) pyrene, chrome, lead and its inorganic compounds)","Опасные загрязнители (бенз(а)пирен, свинец и его неорганические соединения, хром)")</f>
        <v>Опасные загрязнители (бенз(а)пирен, свинец и его неорганические соединения, хром)</v>
      </c>
      <c r="C90" s="12" t="str">
        <f>IF(Contents!$B$2=2,"tons","т")</f>
        <v>т</v>
      </c>
      <c r="D90" s="10" t="s">
        <v>185</v>
      </c>
      <c r="E90" s="10" t="s">
        <v>185</v>
      </c>
      <c r="F90" s="10" t="s">
        <v>185</v>
      </c>
      <c r="G90" s="10" t="s">
        <v>185</v>
      </c>
      <c r="H90" s="10" t="s">
        <v>185</v>
      </c>
      <c r="I90" s="10" t="s">
        <v>185</v>
      </c>
      <c r="J90" s="10" t="s">
        <v>185</v>
      </c>
      <c r="K90" s="10" t="s">
        <v>185</v>
      </c>
      <c r="L90" s="10" t="s">
        <v>185</v>
      </c>
      <c r="M90" s="201">
        <v>0.42699999999999999</v>
      </c>
      <c r="N90" s="863">
        <v>0.42699999999999999</v>
      </c>
      <c r="O90" s="875"/>
      <c r="P90" s="277" t="str">
        <f>IF(Contents!$B$2=2,"Yes","Да")</f>
        <v>Да</v>
      </c>
      <c r="Q90" s="511"/>
      <c r="R90" s="297"/>
      <c r="S90" s="56"/>
      <c r="T90" s="56"/>
      <c r="U90" s="60"/>
      <c r="V90" s="297"/>
      <c r="W90" s="297">
        <v>2</v>
      </c>
      <c r="X90" s="297"/>
      <c r="Y90" s="297"/>
      <c r="Z90" s="606"/>
      <c r="AA90" s="585"/>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c r="IJ90" s="14"/>
      <c r="IK90" s="14"/>
      <c r="IL90" s="14"/>
      <c r="IM90" s="14"/>
      <c r="IN90" s="14"/>
      <c r="IO90" s="14"/>
      <c r="IP90" s="14"/>
      <c r="IQ90" s="14"/>
      <c r="IR90" s="14"/>
    </row>
    <row r="91" spans="1:252" s="1" customFormat="1" ht="35.450000000000003" customHeight="1">
      <c r="A91" s="251"/>
      <c r="B91" s="52" t="str">
        <f>IF(Contents!$B$2=2,"Ozone-depleting emissions","Выбросы озоноразрушающих веществ")</f>
        <v>Выбросы озоноразрушающих веществ</v>
      </c>
      <c r="C91" s="12" t="str">
        <f>IF(Contents!$B$2=2,"tons","т")</f>
        <v>т</v>
      </c>
      <c r="D91" s="10" t="s">
        <v>185</v>
      </c>
      <c r="E91" s="10" t="s">
        <v>185</v>
      </c>
      <c r="F91" s="10" t="s">
        <v>185</v>
      </c>
      <c r="G91" s="10" t="s">
        <v>185</v>
      </c>
      <c r="H91" s="10" t="s">
        <v>185</v>
      </c>
      <c r="I91" s="10" t="s">
        <v>185</v>
      </c>
      <c r="J91" s="10" t="s">
        <v>185</v>
      </c>
      <c r="K91" s="10">
        <v>0</v>
      </c>
      <c r="L91" s="10">
        <v>0</v>
      </c>
      <c r="M91" s="10">
        <v>0</v>
      </c>
      <c r="N91" s="852">
        <v>0</v>
      </c>
      <c r="O91" s="875"/>
      <c r="P91" s="277" t="str">
        <f>IF(Contents!$B$2=2,"Yes","Да")</f>
        <v>Да</v>
      </c>
      <c r="Q91" s="511"/>
      <c r="R91" s="297" t="s">
        <v>95</v>
      </c>
      <c r="S91" s="297"/>
      <c r="T91" s="297"/>
      <c r="U91" s="60"/>
      <c r="V91" s="297"/>
      <c r="W91" s="277">
        <v>2</v>
      </c>
      <c r="X91" s="297"/>
      <c r="Y91" s="297"/>
      <c r="Z91" s="617"/>
      <c r="AA91" s="585"/>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c r="IJ91" s="14"/>
      <c r="IK91" s="14"/>
      <c r="IL91" s="14"/>
      <c r="IM91" s="14"/>
      <c r="IN91" s="14"/>
      <c r="IO91" s="14"/>
      <c r="IP91" s="14"/>
      <c r="IQ91" s="14"/>
      <c r="IR91" s="14"/>
    </row>
    <row r="92" spans="1:252" s="1" customFormat="1">
      <c r="A92" s="251"/>
      <c r="B92" s="52"/>
      <c r="C92" s="165"/>
      <c r="D92" s="10"/>
      <c r="E92" s="10"/>
      <c r="F92" s="10"/>
      <c r="G92" s="10"/>
      <c r="H92" s="10"/>
      <c r="I92" s="10"/>
      <c r="J92" s="10"/>
      <c r="K92" s="10"/>
      <c r="L92" s="659"/>
      <c r="M92" s="659"/>
      <c r="N92" s="659"/>
      <c r="O92" s="253"/>
      <c r="P92" s="926"/>
      <c r="Q92" s="511"/>
      <c r="R92" s="297"/>
      <c r="S92" s="297"/>
      <c r="T92" s="297"/>
      <c r="U92" s="60"/>
      <c r="V92" s="297"/>
      <c r="W92" s="277"/>
      <c r="X92" s="297"/>
      <c r="Y92" s="297"/>
      <c r="Z92" s="617"/>
      <c r="AA92" s="585"/>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row>
    <row r="93" spans="1:252" s="1" customFormat="1">
      <c r="A93" s="251"/>
      <c r="B93" s="673" t="str">
        <f>IF(Contents!$B$2=2,"Emissions of pollutants in the Arctic","Выбросы загрязняющих веществ в Арктической зоне")</f>
        <v>Выбросы загрязняющих веществ в Арктической зоне</v>
      </c>
      <c r="C93" s="12" t="str">
        <f>IF(Contents!$B$2=2,"tons","т")</f>
        <v>т</v>
      </c>
      <c r="D93" s="205" t="s">
        <v>185</v>
      </c>
      <c r="E93" s="205" t="s">
        <v>185</v>
      </c>
      <c r="F93" s="205" t="s">
        <v>185</v>
      </c>
      <c r="G93" s="482" t="s">
        <v>185</v>
      </c>
      <c r="H93" s="482" t="s">
        <v>185</v>
      </c>
      <c r="I93" s="482" t="s">
        <v>185</v>
      </c>
      <c r="J93" s="482" t="s">
        <v>185</v>
      </c>
      <c r="K93" s="205">
        <v>67600</v>
      </c>
      <c r="L93" s="205">
        <v>58719</v>
      </c>
      <c r="M93" s="205">
        <v>48849</v>
      </c>
      <c r="N93" s="206">
        <v>71446</v>
      </c>
      <c r="O93" s="253"/>
      <c r="P93" s="928"/>
      <c r="Q93" s="511"/>
      <c r="R93" s="297"/>
      <c r="S93" s="273"/>
      <c r="T93" s="273"/>
      <c r="U93" s="60"/>
      <c r="V93" s="273"/>
      <c r="W93" s="277">
        <v>2</v>
      </c>
      <c r="X93" s="297"/>
      <c r="Y93" s="273"/>
      <c r="Z93" s="606"/>
      <c r="AA93" s="585"/>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c r="IJ93" s="14"/>
      <c r="IK93" s="14"/>
      <c r="IL93" s="14"/>
      <c r="IM93" s="14"/>
      <c r="IN93" s="14"/>
      <c r="IO93" s="14"/>
      <c r="IP93" s="14"/>
      <c r="IQ93" s="14"/>
      <c r="IR93" s="14"/>
    </row>
    <row r="94" spans="1:252" s="1" customFormat="1">
      <c r="A94" s="251"/>
      <c r="B94" s="673"/>
      <c r="C94" s="12"/>
      <c r="D94" s="205"/>
      <c r="E94" s="205"/>
      <c r="F94" s="205"/>
      <c r="G94" s="482"/>
      <c r="H94" s="482"/>
      <c r="I94" s="482"/>
      <c r="J94" s="482"/>
      <c r="K94" s="205"/>
      <c r="L94" s="205"/>
      <c r="M94" s="205"/>
      <c r="N94" s="205"/>
      <c r="O94" s="253"/>
      <c r="P94" s="928"/>
      <c r="Q94" s="511"/>
      <c r="R94" s="297"/>
      <c r="S94" s="273"/>
      <c r="T94" s="273"/>
      <c r="U94" s="60"/>
      <c r="V94" s="273"/>
      <c r="W94" s="277"/>
      <c r="X94" s="297"/>
      <c r="Y94" s="273"/>
      <c r="Z94" s="606"/>
      <c r="AA94" s="585"/>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c r="IJ94" s="14"/>
      <c r="IK94" s="14"/>
      <c r="IL94" s="14"/>
      <c r="IM94" s="14"/>
      <c r="IN94" s="14"/>
      <c r="IO94" s="14"/>
      <c r="IP94" s="14"/>
      <c r="IQ94" s="14"/>
      <c r="IR94" s="14"/>
    </row>
    <row r="95" spans="1:252" s="1" customFormat="1">
      <c r="A95" s="116"/>
      <c r="B95" s="683" t="s">
        <v>52</v>
      </c>
      <c r="C95" s="12" t="str">
        <f>IF(Contents!$B$2=2,"tons / th. boe","т / тыс. бнэ")</f>
        <v>т / тыс. бнэ</v>
      </c>
      <c r="D95" s="482" t="s">
        <v>185</v>
      </c>
      <c r="E95" s="482" t="s">
        <v>185</v>
      </c>
      <c r="F95" s="482" t="s">
        <v>185</v>
      </c>
      <c r="G95" s="482" t="s">
        <v>185</v>
      </c>
      <c r="H95" s="482" t="s">
        <v>185</v>
      </c>
      <c r="I95" s="482" t="s">
        <v>185</v>
      </c>
      <c r="J95" s="482" t="s">
        <v>185</v>
      </c>
      <c r="K95" s="482" t="s">
        <v>185</v>
      </c>
      <c r="L95" s="482">
        <v>1.4138741414631242E-2</v>
      </c>
      <c r="M95" s="482">
        <v>1.23613434388259E-2</v>
      </c>
      <c r="N95" s="853">
        <v>1.5099825361667525E-2</v>
      </c>
      <c r="O95" s="253"/>
      <c r="P95" s="928"/>
      <c r="Q95" s="511"/>
      <c r="R95" s="297"/>
      <c r="S95" s="273"/>
      <c r="T95" s="273"/>
      <c r="U95" s="60"/>
      <c r="V95" s="273"/>
      <c r="W95" s="277">
        <v>2</v>
      </c>
      <c r="X95" s="297"/>
      <c r="Y95" s="273"/>
      <c r="Z95" s="606"/>
      <c r="AA95" s="585"/>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c r="IJ95" s="14"/>
      <c r="IK95" s="14"/>
      <c r="IL95" s="14"/>
      <c r="IM95" s="14"/>
      <c r="IN95" s="14"/>
      <c r="IO95" s="14"/>
      <c r="IP95" s="14"/>
      <c r="IQ95" s="14"/>
      <c r="IR95" s="14"/>
    </row>
    <row r="96" spans="1:252" s="1" customFormat="1" ht="36">
      <c r="A96" s="116"/>
      <c r="B96" s="683" t="str">
        <f>IF(Contents!$B$2=2,"Intensity of nitrogen oxide (NOx) emissions into the atmosphere of Processing / Downstream facilities","Интенсивность выбросов оксидов азота (NOx) в атмосферу предприятий переработки")</f>
        <v>Интенсивность выбросов оксидов азота (NOx) в атмосферу предприятий переработки</v>
      </c>
      <c r="C96" s="12" t="str">
        <f>IF(Contents!$B$2=2,"tons / ton of production","т / т продукции")</f>
        <v>т / т продукции</v>
      </c>
      <c r="D96" s="482" t="s">
        <v>185</v>
      </c>
      <c r="E96" s="482" t="s">
        <v>185</v>
      </c>
      <c r="F96" s="482" t="s">
        <v>185</v>
      </c>
      <c r="G96" s="482" t="s">
        <v>185</v>
      </c>
      <c r="H96" s="482" t="s">
        <v>185</v>
      </c>
      <c r="I96" s="482" t="s">
        <v>185</v>
      </c>
      <c r="J96" s="482" t="s">
        <v>185</v>
      </c>
      <c r="K96" s="482" t="s">
        <v>185</v>
      </c>
      <c r="L96" s="834">
        <v>7.9092325097210837E-5</v>
      </c>
      <c r="M96" s="834">
        <v>4.0412926173538378E-4</v>
      </c>
      <c r="N96" s="854">
        <v>6.2374193609324586E-5</v>
      </c>
      <c r="O96" s="253"/>
      <c r="P96" s="928"/>
      <c r="Q96" s="511"/>
      <c r="R96" s="297"/>
      <c r="S96" s="273"/>
      <c r="T96" s="273"/>
      <c r="U96" s="60"/>
      <c r="V96" s="273"/>
      <c r="W96" s="277">
        <v>2</v>
      </c>
      <c r="X96" s="297"/>
      <c r="Y96" s="273"/>
      <c r="Z96" s="606"/>
      <c r="AA96" s="585"/>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c r="IJ96" s="14"/>
      <c r="IK96" s="14"/>
      <c r="IL96" s="14"/>
      <c r="IM96" s="14"/>
      <c r="IN96" s="14"/>
      <c r="IO96" s="14"/>
      <c r="IP96" s="14"/>
      <c r="IQ96" s="14"/>
      <c r="IR96" s="14"/>
    </row>
    <row r="97" spans="1:252" s="1" customFormat="1" ht="36">
      <c r="A97" s="116"/>
      <c r="B97" s="683" t="str">
        <f>IF(Contents!$B$2=2,"Intensity of sulfur oxide (SOx) emissions into the atmosphere of Production / Upstream facilities","Интенсивность выбросов оксидов серы (SOx) в атмосферу предприятий добычи")</f>
        <v>Интенсивность выбросов оксидов серы (SOx) в атмосферу предприятий добычи</v>
      </c>
      <c r="C97" s="12" t="str">
        <f>IF(Contents!$B$2=2,"tons / th. boe","т / тыс. бнэ")</f>
        <v>т / тыс. бнэ</v>
      </c>
      <c r="D97" s="482" t="s">
        <v>185</v>
      </c>
      <c r="E97" s="482" t="s">
        <v>185</v>
      </c>
      <c r="F97" s="482" t="s">
        <v>185</v>
      </c>
      <c r="G97" s="482" t="s">
        <v>185</v>
      </c>
      <c r="H97" s="482" t="s">
        <v>185</v>
      </c>
      <c r="I97" s="482" t="s">
        <v>185</v>
      </c>
      <c r="J97" s="482" t="s">
        <v>185</v>
      </c>
      <c r="K97" s="482" t="s">
        <v>185</v>
      </c>
      <c r="L97" s="835">
        <v>7.6291494268113693E-5</v>
      </c>
      <c r="M97" s="835">
        <v>1.1993454944558096E-4</v>
      </c>
      <c r="N97" s="855">
        <v>7.3048134627632362E-5</v>
      </c>
      <c r="O97" s="253"/>
      <c r="P97" s="928"/>
      <c r="Q97" s="511"/>
      <c r="R97" s="297"/>
      <c r="S97" s="273"/>
      <c r="T97" s="273"/>
      <c r="U97" s="60"/>
      <c r="V97" s="273"/>
      <c r="W97" s="277">
        <v>2</v>
      </c>
      <c r="X97" s="297"/>
      <c r="Y97" s="273"/>
      <c r="Z97" s="606"/>
      <c r="AA97" s="585"/>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c r="IJ97" s="14"/>
      <c r="IK97" s="14"/>
      <c r="IL97" s="14"/>
      <c r="IM97" s="14"/>
      <c r="IN97" s="14"/>
      <c r="IO97" s="14"/>
      <c r="IP97" s="14"/>
      <c r="IQ97" s="14"/>
      <c r="IR97" s="14"/>
    </row>
    <row r="98" spans="1:252" s="1" customFormat="1" ht="36">
      <c r="A98" s="116"/>
      <c r="B98" s="683" t="str">
        <f>IF(Contents!$B$2=2,"Intensity of sulfur oxide (SOx) emissions into the atmosphere of Processing / Downstream facilities","Интенсивность выбросов оксидов серы (SOx) в атмосферу предприятий переработки")</f>
        <v>Интенсивность выбросов оксидов серы (SOx) в атмосферу предприятий переработки</v>
      </c>
      <c r="C98" s="12" t="str">
        <f>IF(Contents!$B$2=2,"tons / ton of production","т / т продукции")</f>
        <v>т / т продукции</v>
      </c>
      <c r="D98" s="482" t="s">
        <v>185</v>
      </c>
      <c r="E98" s="482" t="s">
        <v>185</v>
      </c>
      <c r="F98" s="482" t="s">
        <v>185</v>
      </c>
      <c r="G98" s="482" t="s">
        <v>185</v>
      </c>
      <c r="H98" s="482" t="s">
        <v>185</v>
      </c>
      <c r="I98" s="482" t="s">
        <v>185</v>
      </c>
      <c r="J98" s="482" t="s">
        <v>185</v>
      </c>
      <c r="K98" s="482" t="s">
        <v>185</v>
      </c>
      <c r="L98" s="835">
        <v>7.4393088079690488E-7</v>
      </c>
      <c r="M98" s="835">
        <v>4.3277813447030394E-6</v>
      </c>
      <c r="N98" s="855">
        <v>7.8049932504100847E-6</v>
      </c>
      <c r="O98" s="253"/>
      <c r="P98" s="928"/>
      <c r="Q98" s="511"/>
      <c r="R98" s="297"/>
      <c r="S98" s="273"/>
      <c r="T98" s="273"/>
      <c r="U98" s="60"/>
      <c r="V98" s="273"/>
      <c r="W98" s="277">
        <v>2</v>
      </c>
      <c r="X98" s="297"/>
      <c r="Y98" s="273"/>
      <c r="Z98" s="606"/>
      <c r="AA98" s="585"/>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c r="IJ98" s="14"/>
      <c r="IK98" s="14"/>
      <c r="IL98" s="14"/>
      <c r="IM98" s="14"/>
      <c r="IN98" s="14"/>
      <c r="IO98" s="14"/>
      <c r="IP98" s="14"/>
      <c r="IQ98" s="14"/>
      <c r="IR98" s="14"/>
    </row>
    <row r="99" spans="1:252" s="1" customFormat="1" ht="36">
      <c r="A99" s="116"/>
      <c r="B99" s="683" t="str">
        <f>IF(Contents!$B$2=2,"Intensity of volatile organic compounds (VOCs) emissions into the atmosphere of Production / Upstream facilities","Интенсивность выбросов летучих органических соединений (ЛОС) в атмосферу предприятий добычи")</f>
        <v>Интенсивность выбросов летучих органических соединений (ЛОС) в атмосферу предприятий добычи</v>
      </c>
      <c r="C99" s="12" t="str">
        <f>IF(Contents!$B$2=2,"tons / th. boe","т / тыс. бнэ")</f>
        <v>т / тыс. бнэ</v>
      </c>
      <c r="D99" s="482" t="s">
        <v>185</v>
      </c>
      <c r="E99" s="482" t="s">
        <v>185</v>
      </c>
      <c r="F99" s="482" t="s">
        <v>185</v>
      </c>
      <c r="G99" s="482" t="s">
        <v>185</v>
      </c>
      <c r="H99" s="482" t="s">
        <v>185</v>
      </c>
      <c r="I99" s="482" t="s">
        <v>185</v>
      </c>
      <c r="J99" s="482" t="s">
        <v>185</v>
      </c>
      <c r="K99" s="482" t="s">
        <v>185</v>
      </c>
      <c r="L99" s="834">
        <v>5.7999234787602895E-3</v>
      </c>
      <c r="M99" s="834">
        <v>5.4218651866591253E-3</v>
      </c>
      <c r="N99" s="854">
        <v>5.5334993948651092E-3</v>
      </c>
      <c r="O99" s="253"/>
      <c r="P99" s="928"/>
      <c r="Q99" s="511"/>
      <c r="R99" s="297"/>
      <c r="S99" s="273"/>
      <c r="T99" s="273"/>
      <c r="U99" s="60"/>
      <c r="V99" s="273"/>
      <c r="W99" s="277">
        <v>2</v>
      </c>
      <c r="X99" s="297"/>
      <c r="Y99" s="273"/>
      <c r="Z99" s="606"/>
      <c r="AA99" s="585"/>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c r="IJ99" s="14"/>
      <c r="IK99" s="14"/>
      <c r="IL99" s="14"/>
      <c r="IM99" s="14"/>
      <c r="IN99" s="14"/>
      <c r="IO99" s="14"/>
      <c r="IP99" s="14"/>
      <c r="IQ99" s="14"/>
      <c r="IR99" s="14"/>
    </row>
    <row r="100" spans="1:252" s="1" customFormat="1" ht="36">
      <c r="A100" s="116"/>
      <c r="B100" s="683" t="str">
        <f>IF(Contents!$B$2=2,"Intensity of volatile organic compounds (VOCs) emissions into the atmosphere of Processing / Downstream facilities","Интенсивность выбросов летучих органических соединений (ЛОС) в атмосферу предприятий переработки")</f>
        <v>Интенсивность выбросов летучих органических соединений (ЛОС) в атмосферу предприятий переработки</v>
      </c>
      <c r="C100" s="12" t="str">
        <f>IF(Contents!$B$2=2,"tons / ton of production","т / т продукции")</f>
        <v>т / т продукции</v>
      </c>
      <c r="D100" s="482" t="s">
        <v>185</v>
      </c>
      <c r="E100" s="482" t="s">
        <v>185</v>
      </c>
      <c r="F100" s="482" t="s">
        <v>185</v>
      </c>
      <c r="G100" s="482" t="s">
        <v>185</v>
      </c>
      <c r="H100" s="482" t="s">
        <v>185</v>
      </c>
      <c r="I100" s="482" t="s">
        <v>185</v>
      </c>
      <c r="J100" s="482" t="s">
        <v>185</v>
      </c>
      <c r="K100" s="482" t="s">
        <v>185</v>
      </c>
      <c r="L100" s="696">
        <v>4.8539244133559455E-4</v>
      </c>
      <c r="M100" s="696">
        <v>4.5202683454049672E-4</v>
      </c>
      <c r="N100" s="856">
        <v>4.5934990593368593E-4</v>
      </c>
      <c r="O100" s="253"/>
      <c r="P100" s="928"/>
      <c r="Q100" s="511"/>
      <c r="R100" s="56"/>
      <c r="S100" s="56"/>
      <c r="T100" s="56"/>
      <c r="U100" s="60"/>
      <c r="V100" s="56"/>
      <c r="W100" s="277">
        <v>2</v>
      </c>
      <c r="X100" s="56"/>
      <c r="Y100" s="56"/>
      <c r="Z100" s="606"/>
      <c r="AA100" s="585"/>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c r="IJ100" s="14"/>
      <c r="IK100" s="14"/>
      <c r="IL100" s="14"/>
      <c r="IM100" s="14"/>
      <c r="IN100" s="14"/>
      <c r="IO100" s="14"/>
      <c r="IP100" s="14"/>
      <c r="IQ100" s="14"/>
      <c r="IR100" s="14"/>
    </row>
    <row r="101" spans="1:252" s="1" customFormat="1">
      <c r="A101" s="116"/>
      <c r="B101" s="673"/>
      <c r="C101" s="61"/>
      <c r="D101" s="62"/>
      <c r="E101" s="62"/>
      <c r="F101" s="62"/>
      <c r="G101" s="62"/>
      <c r="H101" s="62"/>
      <c r="I101" s="62"/>
      <c r="J101" s="62"/>
      <c r="K101" s="62"/>
      <c r="L101" s="62"/>
      <c r="M101" s="62"/>
      <c r="N101" s="62"/>
      <c r="O101" s="253"/>
      <c r="P101" s="56"/>
      <c r="Q101" s="253"/>
      <c r="R101" s="56"/>
      <c r="S101" s="56"/>
      <c r="T101" s="56"/>
      <c r="U101" s="60"/>
      <c r="V101" s="56"/>
      <c r="W101" s="56"/>
      <c r="X101" s="56"/>
      <c r="Y101" s="56"/>
      <c r="Z101" s="606"/>
      <c r="AA101" s="585"/>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c r="IJ101" s="14"/>
      <c r="IK101" s="14"/>
      <c r="IL101" s="14"/>
      <c r="IM101" s="14"/>
      <c r="IN101" s="14"/>
      <c r="IO101" s="14"/>
      <c r="IP101" s="14"/>
      <c r="IQ101" s="14"/>
      <c r="IR101" s="14"/>
    </row>
    <row r="102" spans="1:252" s="1" customFormat="1">
      <c r="A102" s="116"/>
      <c r="B102" s="25" t="str">
        <f>IF(Contents!$B$2=2,"Notes:","Примечания:")</f>
        <v>Примечания:</v>
      </c>
      <c r="C102" s="61"/>
      <c r="D102" s="62"/>
      <c r="E102" s="62"/>
      <c r="F102" s="62"/>
      <c r="G102" s="62"/>
      <c r="H102" s="62"/>
      <c r="I102" s="62"/>
      <c r="J102" s="62"/>
      <c r="K102" s="62"/>
      <c r="L102" s="62"/>
      <c r="M102" s="62"/>
      <c r="N102" s="63"/>
      <c r="O102" s="253"/>
      <c r="P102" s="56"/>
      <c r="Q102" s="253"/>
      <c r="R102" s="56"/>
      <c r="S102" s="56"/>
      <c r="T102" s="56"/>
      <c r="U102" s="60"/>
      <c r="V102" s="56"/>
      <c r="W102" s="56"/>
      <c r="X102" s="56"/>
      <c r="Y102" s="56"/>
      <c r="Z102" s="606"/>
      <c r="AA102" s="585"/>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c r="IJ102" s="14"/>
      <c r="IK102" s="14"/>
      <c r="IL102" s="14"/>
      <c r="IM102" s="14"/>
      <c r="IN102" s="14"/>
      <c r="IO102" s="14"/>
      <c r="IP102" s="14"/>
      <c r="IQ102" s="14"/>
      <c r="IR102" s="14"/>
    </row>
    <row r="103" spans="1:252" s="1" customFormat="1">
      <c r="A103" s="116"/>
      <c r="B103" s="65" t="str">
        <f>IF(Contents!$B$2=2,"The category Hazardous pollutants (benz (a) pyrene, lead and its inorganic compounds) is not taken into account when calculating the total amount of air emissions due to the fact that its components are included in other emission categories.","Категория Опасные загрязнители (бенз(а)пирен, свинец и его неорганические соединения) не учитывается при подсчете общего объема выбросов в атмосферу в связи с тем, что его составляющие входят в прочие категории выбросов.")</f>
        <v>Категория Опасные загрязнители (бенз(а)пирен, свинец и его неорганические соединения) не учитывается при подсчете общего объема выбросов в атмосферу в связи с тем, что его составляющие входят в прочие категории выбросов.</v>
      </c>
      <c r="C103" s="65"/>
      <c r="D103" s="65"/>
      <c r="E103" s="65"/>
      <c r="F103" s="65"/>
      <c r="G103" s="65"/>
      <c r="H103" s="65"/>
      <c r="I103" s="65"/>
      <c r="J103" s="65"/>
      <c r="K103" s="65"/>
      <c r="L103" s="65"/>
      <c r="M103" s="65"/>
      <c r="N103" s="65"/>
      <c r="O103" s="253"/>
      <c r="P103" s="56"/>
      <c r="Q103" s="253"/>
      <c r="R103" s="56" t="s">
        <v>52</v>
      </c>
      <c r="S103" s="56"/>
      <c r="T103" s="56"/>
      <c r="U103" s="60"/>
      <c r="V103" s="56"/>
      <c r="W103" s="56"/>
      <c r="X103" s="56"/>
      <c r="Y103" s="56"/>
      <c r="Z103" s="606"/>
      <c r="AA103" s="585"/>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c r="IQ103" s="14"/>
      <c r="IR103" s="14"/>
    </row>
    <row r="104" spans="1:252" s="1" customFormat="1">
      <c r="A104" s="116"/>
      <c r="B104" s="65" t="str">
        <f>IF(Contents!$B$2=2,"Air emissions in cities are calculated in large cities such as Chelyabinsk, Zlatoust, Rostov-on-Don and Volgograd.","Выбросы в атмосферу в городах рассчитываются в крупных городах, таких как Челябинск, Златоуст, Ростов-на-Дону и Волгоград.")</f>
        <v>Выбросы в атмосферу в городах рассчитываются в крупных городах, таких как Челябинск, Златоуст, Ростов-на-Дону и Волгоград.</v>
      </c>
      <c r="C104" s="65"/>
      <c r="D104" s="65"/>
      <c r="E104" s="65"/>
      <c r="F104" s="65"/>
      <c r="G104" s="65"/>
      <c r="H104" s="65"/>
      <c r="I104" s="65"/>
      <c r="J104" s="65"/>
      <c r="K104" s="65"/>
      <c r="L104" s="65"/>
      <c r="M104" s="65"/>
      <c r="N104" s="65"/>
      <c r="O104" s="253"/>
      <c r="P104" s="56"/>
      <c r="Q104" s="253"/>
      <c r="R104" s="56"/>
      <c r="S104" s="56"/>
      <c r="T104" s="56"/>
      <c r="U104" s="60"/>
      <c r="V104" s="56"/>
      <c r="W104" s="56"/>
      <c r="X104" s="56"/>
      <c r="Y104" s="56"/>
      <c r="Z104" s="606"/>
      <c r="AA104" s="585"/>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c r="IJ104" s="14"/>
      <c r="IK104" s="14"/>
      <c r="IL104" s="14"/>
      <c r="IM104" s="14"/>
      <c r="IN104" s="14"/>
      <c r="IO104" s="14"/>
      <c r="IP104" s="14"/>
      <c r="IQ104" s="14"/>
      <c r="IR104" s="14"/>
    </row>
    <row r="105" spans="1:252" s="1" customFormat="1">
      <c r="A105" s="116"/>
      <c r="B105" s="65" t="str">
        <f>IF(Contents!$B$2=2,"Specific air emissions are calculated by dividing total air emissions (NOx, SO2, CO, PM, VOC, hydrocarbons, etc.) by the volume of production, including the Company's share in joint ventures.","Удельные выбросы в атмосферу рассчитываются путем деления суммарных выбросов в атмосферу (NOx, SO2, CO, ТЧ, ЛОС, углеводороды и т. д.) на объем производства, включая долю Компании в совместных предприятиях.")</f>
        <v>Удельные выбросы в атмосферу рассчитываются путем деления суммарных выбросов в атмосферу (NOx, SO2, CO, ТЧ, ЛОС, углеводороды и т. д.) на объем производства, включая долю Компании в совместных предприятиях.</v>
      </c>
      <c r="C105" s="65"/>
      <c r="D105" s="65"/>
      <c r="E105" s="65"/>
      <c r="F105" s="65"/>
      <c r="G105" s="65"/>
      <c r="H105" s="65"/>
      <c r="I105" s="65"/>
      <c r="J105" s="514"/>
      <c r="K105" s="514"/>
      <c r="L105" s="514"/>
      <c r="M105" s="514"/>
      <c r="N105" s="514"/>
      <c r="O105" s="253"/>
      <c r="P105" s="56"/>
      <c r="Q105" s="253"/>
      <c r="R105" s="56"/>
      <c r="S105" s="56"/>
      <c r="T105" s="56"/>
      <c r="U105" s="60"/>
      <c r="V105" s="56"/>
      <c r="W105" s="56"/>
      <c r="X105" s="56"/>
      <c r="Y105" s="56"/>
      <c r="Z105" s="606"/>
      <c r="AA105" s="585"/>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row>
    <row r="106" spans="1:252" s="1" customFormat="1">
      <c r="A106" s="116"/>
      <c r="B106" s="65" t="str">
        <f>IF(Contents!$B$2=2,"Emissions of ozone-depleting substances include production, import and export of ozone-depleting substances in tonnes.","Показатель Выбросы озоноразрушающих веществ включает объем производства, импорта, а также экспорта озоноразрушающих веществ в тоннах.")</f>
        <v>Показатель Выбросы озоноразрушающих веществ включает объем производства, импорта, а также экспорта озоноразрушающих веществ в тоннах.</v>
      </c>
      <c r="C106" s="65"/>
      <c r="D106" s="65"/>
      <c r="E106" s="65"/>
      <c r="F106" s="65"/>
      <c r="G106" s="65"/>
      <c r="H106" s="65"/>
      <c r="I106" s="65"/>
      <c r="J106" s="514"/>
      <c r="K106" s="514"/>
      <c r="L106" s="514"/>
      <c r="M106" s="514"/>
      <c r="N106" s="514"/>
      <c r="O106" s="253"/>
      <c r="P106" s="56"/>
      <c r="Q106" s="253"/>
      <c r="R106" s="56"/>
      <c r="S106" s="56"/>
      <c r="T106" s="56"/>
      <c r="U106" s="60"/>
      <c r="V106" s="56"/>
      <c r="W106" s="56"/>
      <c r="X106" s="56"/>
      <c r="Y106" s="56"/>
      <c r="Z106" s="606"/>
      <c r="AA106" s="585"/>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c r="IQ106" s="14"/>
      <c r="IR106" s="14"/>
    </row>
    <row r="107" spans="1:252">
      <c r="A107" s="116"/>
      <c r="B107" s="300"/>
      <c r="C107" s="301"/>
      <c r="D107" s="301"/>
      <c r="E107" s="301"/>
      <c r="F107" s="301"/>
      <c r="G107" s="301"/>
      <c r="H107" s="301"/>
      <c r="I107" s="301"/>
      <c r="J107" s="514"/>
      <c r="K107" s="514"/>
      <c r="L107" s="514"/>
      <c r="M107" s="514"/>
      <c r="N107" s="514"/>
      <c r="P107" s="56"/>
      <c r="R107" s="56"/>
      <c r="S107" s="56"/>
      <c r="T107" s="56"/>
      <c r="U107" s="60"/>
      <c r="V107" s="56"/>
      <c r="W107" s="56"/>
      <c r="X107" s="56"/>
      <c r="Y107" s="56"/>
      <c r="AA107" s="585"/>
    </row>
    <row r="108" spans="1:252" ht="20.100000000000001" customHeight="1">
      <c r="A108" s="116"/>
      <c r="B108" s="272" t="str">
        <f>IF(Contents!$B$2=2,"Waste","Отходы")</f>
        <v>Отходы</v>
      </c>
      <c r="C108" s="272"/>
      <c r="D108" s="272"/>
      <c r="E108" s="272"/>
      <c r="F108" s="272"/>
      <c r="G108" s="272"/>
      <c r="H108" s="272"/>
      <c r="I108" s="272"/>
      <c r="J108" s="272"/>
      <c r="K108" s="272"/>
      <c r="L108" s="272"/>
      <c r="M108" s="272"/>
      <c r="N108" s="272"/>
      <c r="P108" s="619"/>
      <c r="R108" s="619"/>
      <c r="S108" s="619"/>
      <c r="T108" s="619"/>
      <c r="U108" s="619"/>
      <c r="V108" s="619"/>
      <c r="W108" s="619"/>
      <c r="X108" s="619"/>
      <c r="Y108" s="619"/>
      <c r="AA108" s="585"/>
    </row>
    <row r="109" spans="1:252" s="1" customFormat="1" ht="26.45" customHeight="1">
      <c r="A109" s="116"/>
      <c r="B109" s="196" t="str">
        <f>IF(Contents!$B$2=2,"Waste generation","Образование отходов")</f>
        <v>Образование отходов</v>
      </c>
      <c r="C109" s="42" t="str">
        <f>IF(Contents!$B$2=2,"tons","т")</f>
        <v>т</v>
      </c>
      <c r="D109" s="302" t="s">
        <v>185</v>
      </c>
      <c r="E109" s="302" t="s">
        <v>185</v>
      </c>
      <c r="F109" s="302" t="s">
        <v>185</v>
      </c>
      <c r="G109" s="303">
        <v>71300</v>
      </c>
      <c r="H109" s="303">
        <v>79778</v>
      </c>
      <c r="I109" s="303">
        <v>47214</v>
      </c>
      <c r="J109" s="303">
        <v>53461</v>
      </c>
      <c r="K109" s="303">
        <v>91059</v>
      </c>
      <c r="L109" s="303">
        <v>72247</v>
      </c>
      <c r="M109" s="303">
        <v>117698</v>
      </c>
      <c r="N109" s="303">
        <v>110335</v>
      </c>
      <c r="O109" s="869"/>
      <c r="P109" s="277" t="str">
        <f>IF(Contents!$B$2=2,"Yes","Да")</f>
        <v>Да</v>
      </c>
      <c r="Q109" s="511"/>
      <c r="R109" s="297" t="s">
        <v>96</v>
      </c>
      <c r="S109" s="56"/>
      <c r="T109" s="56"/>
      <c r="U109" s="56"/>
      <c r="V109" s="56"/>
      <c r="W109" s="277">
        <v>2</v>
      </c>
      <c r="X109" s="277"/>
      <c r="Y109" s="56"/>
      <c r="Z109" s="606"/>
      <c r="AA109" s="585"/>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row>
    <row r="110" spans="1:252" s="1" customFormat="1">
      <c r="A110" s="116"/>
      <c r="B110" s="23" t="str">
        <f>IF(Contents!$B$2=2,"by waste hazard class","по классам опасности отходов")</f>
        <v>по классам опасности отходов</v>
      </c>
      <c r="C110" s="13"/>
      <c r="D110" s="304"/>
      <c r="E110" s="304"/>
      <c r="F110" s="69"/>
      <c r="G110" s="69"/>
      <c r="H110" s="69"/>
      <c r="I110" s="305"/>
      <c r="J110" s="73"/>
      <c r="K110" s="73"/>
      <c r="L110" s="73"/>
      <c r="M110" s="73"/>
      <c r="N110" s="73"/>
      <c r="O110" s="253"/>
      <c r="P110" s="56"/>
      <c r="Q110" s="511"/>
      <c r="R110" s="297"/>
      <c r="S110" s="56"/>
      <c r="T110" s="56" t="s">
        <v>97</v>
      </c>
      <c r="U110" s="273" t="str">
        <f>IF(Contents!$B$2=2,"PBCS 5","СОКБ 5")</f>
        <v>СОКБ 5</v>
      </c>
      <c r="V110" s="56"/>
      <c r="W110" s="56"/>
      <c r="X110" s="56"/>
      <c r="Y110" s="56"/>
      <c r="Z110" s="606"/>
      <c r="AA110" s="585"/>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row>
    <row r="111" spans="1:252" s="1" customFormat="1" ht="25.5">
      <c r="A111" s="116"/>
      <c r="B111" s="41" t="str">
        <f>IF(Contents!$B$2=2,"Hazardous waste (hazard classes I-III)","Опасные отходы (I-III классы опасности)")</f>
        <v>Опасные отходы (I-III классы опасности)</v>
      </c>
      <c r="C111" s="12" t="str">
        <f>IF(Contents!$B$2=2,"tons","т")</f>
        <v>т</v>
      </c>
      <c r="D111" s="10" t="s">
        <v>185</v>
      </c>
      <c r="E111" s="10" t="s">
        <v>185</v>
      </c>
      <c r="F111" s="10" t="s">
        <v>185</v>
      </c>
      <c r="G111" s="306">
        <v>1800</v>
      </c>
      <c r="H111" s="306">
        <v>1138</v>
      </c>
      <c r="I111" s="101">
        <v>1949</v>
      </c>
      <c r="J111" s="101">
        <v>1507</v>
      </c>
      <c r="K111" s="101">
        <v>2010</v>
      </c>
      <c r="L111" s="101">
        <v>2797</v>
      </c>
      <c r="M111" s="101">
        <v>23801</v>
      </c>
      <c r="N111" s="204">
        <v>23473</v>
      </c>
      <c r="O111" s="253"/>
      <c r="P111" s="277" t="str">
        <f>IF(Contents!$B$2=2,"Yes","Да")</f>
        <v>Да</v>
      </c>
      <c r="Q111" s="511"/>
      <c r="R111" s="892" t="s">
        <v>96</v>
      </c>
      <c r="S111" s="308"/>
      <c r="T111" s="308"/>
      <c r="U111" s="308"/>
      <c r="V111" s="308"/>
      <c r="W111" s="277">
        <v>2</v>
      </c>
      <c r="X111" s="308"/>
      <c r="Y111" s="308"/>
      <c r="Z111" s="606"/>
      <c r="AA111" s="585"/>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row>
    <row r="112" spans="1:252" s="1" customFormat="1" ht="25.5">
      <c r="A112" s="116"/>
      <c r="B112" s="41" t="str">
        <f>IF(Contents!$B$2=2,"Non-hazardous waste (hazard classes IV-V)","Неопасные отходы (IV-V классы опасности)")</f>
        <v>Неопасные отходы (IV-V классы опасности)</v>
      </c>
      <c r="C112" s="12" t="str">
        <f>IF(Contents!$B$2=2,"tons","т")</f>
        <v>т</v>
      </c>
      <c r="D112" s="10" t="s">
        <v>185</v>
      </c>
      <c r="E112" s="10" t="s">
        <v>185</v>
      </c>
      <c r="F112" s="10" t="s">
        <v>185</v>
      </c>
      <c r="G112" s="306">
        <v>69500</v>
      </c>
      <c r="H112" s="306">
        <v>78640</v>
      </c>
      <c r="I112" s="101">
        <v>45265</v>
      </c>
      <c r="J112" s="101">
        <v>51954</v>
      </c>
      <c r="K112" s="101">
        <v>89049</v>
      </c>
      <c r="L112" s="101">
        <v>69450</v>
      </c>
      <c r="M112" s="101">
        <v>93897</v>
      </c>
      <c r="N112" s="204">
        <v>86862</v>
      </c>
      <c r="O112" s="253"/>
      <c r="P112" s="277" t="str">
        <f>IF(Contents!$B$2=2,"Yes","Да")</f>
        <v>Да</v>
      </c>
      <c r="Q112" s="511"/>
      <c r="R112" s="892" t="s">
        <v>96</v>
      </c>
      <c r="S112" s="308"/>
      <c r="T112" s="308"/>
      <c r="U112" s="308"/>
      <c r="V112" s="308"/>
      <c r="W112" s="277">
        <v>2</v>
      </c>
      <c r="X112" s="308"/>
      <c r="Y112" s="308"/>
      <c r="Z112" s="606"/>
      <c r="AA112" s="585"/>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row>
    <row r="113" spans="1:252" s="1" customFormat="1" ht="29.1" customHeight="1">
      <c r="A113" s="116"/>
      <c r="B113" s="11" t="str">
        <f>IF(Contents!$B$2=2,"Hazard class I","I класс опасности")</f>
        <v>I класс опасности</v>
      </c>
      <c r="C113" s="12" t="str">
        <f>IF(Contents!$B$2=2,"tons","т")</f>
        <v>т</v>
      </c>
      <c r="D113" s="10" t="s">
        <v>185</v>
      </c>
      <c r="E113" s="10" t="s">
        <v>185</v>
      </c>
      <c r="F113" s="10" t="s">
        <v>185</v>
      </c>
      <c r="G113" s="306" t="s">
        <v>185</v>
      </c>
      <c r="H113" s="306" t="s">
        <v>185</v>
      </c>
      <c r="I113" s="306" t="s">
        <v>185</v>
      </c>
      <c r="J113" s="101">
        <v>3</v>
      </c>
      <c r="K113" s="101">
        <v>4</v>
      </c>
      <c r="L113" s="101">
        <v>2</v>
      </c>
      <c r="M113" s="101">
        <v>4</v>
      </c>
      <c r="N113" s="307">
        <v>2</v>
      </c>
      <c r="O113" s="879"/>
      <c r="P113" s="277" t="str">
        <f>IF(Contents!$B$2=2,"Yes","Да")</f>
        <v>Да</v>
      </c>
      <c r="Q113" s="511"/>
      <c r="R113" s="892" t="s">
        <v>96</v>
      </c>
      <c r="S113" s="71"/>
      <c r="T113" s="71"/>
      <c r="U113" s="71"/>
      <c r="V113" s="71"/>
      <c r="W113" s="277">
        <v>2</v>
      </c>
      <c r="X113" s="308"/>
      <c r="Y113" s="71"/>
      <c r="Z113" s="606"/>
      <c r="AA113" s="585"/>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c r="IQ113" s="14"/>
      <c r="IR113" s="14"/>
    </row>
    <row r="114" spans="1:252" s="1" customFormat="1" ht="21" customHeight="1">
      <c r="A114" s="116"/>
      <c r="B114" s="11" t="str">
        <f>IF(Contents!$B$2=2,"Hazard class II","II класс опасности")</f>
        <v>II класс опасности</v>
      </c>
      <c r="C114" s="12" t="str">
        <f>IF(Contents!$B$2=2,"tons","т")</f>
        <v>т</v>
      </c>
      <c r="D114" s="10" t="s">
        <v>185</v>
      </c>
      <c r="E114" s="10" t="s">
        <v>185</v>
      </c>
      <c r="F114" s="10" t="s">
        <v>185</v>
      </c>
      <c r="G114" s="306" t="s">
        <v>185</v>
      </c>
      <c r="H114" s="306" t="s">
        <v>185</v>
      </c>
      <c r="I114" s="306" t="s">
        <v>185</v>
      </c>
      <c r="J114" s="101">
        <v>37</v>
      </c>
      <c r="K114" s="101">
        <v>35</v>
      </c>
      <c r="L114" s="101">
        <v>55</v>
      </c>
      <c r="M114" s="101">
        <v>150</v>
      </c>
      <c r="N114" s="307">
        <v>126</v>
      </c>
      <c r="O114" s="879"/>
      <c r="P114" s="277" t="str">
        <f>IF(Contents!$B$2=2,"Yes","Да")</f>
        <v>Да</v>
      </c>
      <c r="Q114" s="511"/>
      <c r="R114" s="892" t="s">
        <v>96</v>
      </c>
      <c r="S114" s="55"/>
      <c r="T114" s="55"/>
      <c r="U114" s="55"/>
      <c r="V114" s="55"/>
      <c r="W114" s="277">
        <v>2</v>
      </c>
      <c r="X114" s="55"/>
      <c r="Y114" s="55"/>
      <c r="Z114" s="606"/>
      <c r="AA114" s="585"/>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c r="IQ114" s="14"/>
      <c r="IR114" s="14"/>
    </row>
    <row r="115" spans="1:252" s="1" customFormat="1" ht="22.5" customHeight="1">
      <c r="A115" s="116"/>
      <c r="B115" s="11" t="str">
        <f>IF(Contents!$B$2=2,"Hazard class III","III класс опасности")</f>
        <v>III класс опасности</v>
      </c>
      <c r="C115" s="12" t="str">
        <f>IF(Contents!$B$2=2,"tons","т")</f>
        <v>т</v>
      </c>
      <c r="D115" s="10" t="s">
        <v>185</v>
      </c>
      <c r="E115" s="10" t="s">
        <v>185</v>
      </c>
      <c r="F115" s="10" t="s">
        <v>185</v>
      </c>
      <c r="G115" s="306" t="s">
        <v>185</v>
      </c>
      <c r="H115" s="306" t="s">
        <v>185</v>
      </c>
      <c r="I115" s="306" t="s">
        <v>185</v>
      </c>
      <c r="J115" s="101">
        <v>1467</v>
      </c>
      <c r="K115" s="101">
        <v>1971</v>
      </c>
      <c r="L115" s="101">
        <v>2740</v>
      </c>
      <c r="M115" s="101">
        <v>23647</v>
      </c>
      <c r="N115" s="307">
        <v>23345</v>
      </c>
      <c r="O115" s="879"/>
      <c r="P115" s="277" t="str">
        <f>IF(Contents!$B$2=2,"Yes","Да")</f>
        <v>Да</v>
      </c>
      <c r="Q115" s="511"/>
      <c r="R115" s="892" t="s">
        <v>96</v>
      </c>
      <c r="S115" s="55"/>
      <c r="T115" s="55"/>
      <c r="U115" s="55"/>
      <c r="V115" s="55"/>
      <c r="W115" s="277">
        <v>2</v>
      </c>
      <c r="X115" s="55"/>
      <c r="Y115" s="55"/>
      <c r="Z115" s="606"/>
      <c r="AA115" s="585"/>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c r="II115" s="14"/>
      <c r="IJ115" s="14"/>
      <c r="IK115" s="14"/>
      <c r="IL115" s="14"/>
      <c r="IM115" s="14"/>
      <c r="IN115" s="14"/>
      <c r="IO115" s="14"/>
      <c r="IP115" s="14"/>
      <c r="IQ115" s="14"/>
      <c r="IR115" s="14"/>
    </row>
    <row r="116" spans="1:252" s="1" customFormat="1" ht="25.5" customHeight="1">
      <c r="A116" s="116"/>
      <c r="B116" s="11" t="str">
        <f>IF(Contents!$B$2=2,"Hazard class IV","IV класс опасности")</f>
        <v>IV класс опасности</v>
      </c>
      <c r="C116" s="12" t="str">
        <f>IF(Contents!$B$2=2,"tons","т")</f>
        <v>т</v>
      </c>
      <c r="D116" s="10" t="s">
        <v>185</v>
      </c>
      <c r="E116" s="10" t="s">
        <v>185</v>
      </c>
      <c r="F116" s="10" t="s">
        <v>185</v>
      </c>
      <c r="G116" s="306" t="s">
        <v>185</v>
      </c>
      <c r="H116" s="306" t="s">
        <v>185</v>
      </c>
      <c r="I116" s="306" t="s">
        <v>185</v>
      </c>
      <c r="J116" s="101">
        <v>48728</v>
      </c>
      <c r="K116" s="101">
        <v>85209</v>
      </c>
      <c r="L116" s="101">
        <v>65352</v>
      </c>
      <c r="M116" s="101">
        <v>87696</v>
      </c>
      <c r="N116" s="307">
        <v>81454</v>
      </c>
      <c r="O116" s="879"/>
      <c r="P116" s="277" t="str">
        <f>IF(Contents!$B$2=2,"Yes","Да")</f>
        <v>Да</v>
      </c>
      <c r="Q116" s="511"/>
      <c r="R116" s="892" t="s">
        <v>96</v>
      </c>
      <c r="S116" s="55"/>
      <c r="T116" s="55"/>
      <c r="U116" s="55"/>
      <c r="V116" s="55"/>
      <c r="W116" s="277">
        <v>2</v>
      </c>
      <c r="X116" s="55"/>
      <c r="Y116" s="55"/>
      <c r="Z116" s="606"/>
      <c r="AA116" s="585"/>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c r="IQ116" s="14"/>
      <c r="IR116" s="14"/>
    </row>
    <row r="117" spans="1:252" s="1" customFormat="1" ht="21" customHeight="1">
      <c r="A117" s="116"/>
      <c r="B117" s="11" t="str">
        <f>IF(Contents!$B$2=2,"Hazard class V","V класс опасности")</f>
        <v>V класс опасности</v>
      </c>
      <c r="C117" s="12" t="str">
        <f>IF(Contents!$B$2=2,"tons","т")</f>
        <v>т</v>
      </c>
      <c r="D117" s="10" t="s">
        <v>185</v>
      </c>
      <c r="E117" s="10" t="s">
        <v>185</v>
      </c>
      <c r="F117" s="10" t="s">
        <v>185</v>
      </c>
      <c r="G117" s="306" t="s">
        <v>185</v>
      </c>
      <c r="H117" s="306" t="s">
        <v>185</v>
      </c>
      <c r="I117" s="306" t="s">
        <v>185</v>
      </c>
      <c r="J117" s="101">
        <v>3226</v>
      </c>
      <c r="K117" s="101">
        <v>3840</v>
      </c>
      <c r="L117" s="101">
        <v>4098</v>
      </c>
      <c r="M117" s="101">
        <v>6201</v>
      </c>
      <c r="N117" s="307">
        <v>5408</v>
      </c>
      <c r="O117" s="879"/>
      <c r="P117" s="277" t="str">
        <f>IF(Contents!$B$2=2,"Yes","Да")</f>
        <v>Да</v>
      </c>
      <c r="Q117" s="511"/>
      <c r="R117" s="892" t="s">
        <v>96</v>
      </c>
      <c r="S117" s="55"/>
      <c r="T117" s="55"/>
      <c r="U117" s="55"/>
      <c r="V117" s="55"/>
      <c r="W117" s="277">
        <v>2</v>
      </c>
      <c r="X117" s="55"/>
      <c r="Y117" s="55"/>
      <c r="Z117" s="606"/>
      <c r="AA117" s="585"/>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row>
    <row r="118" spans="1:252" s="1" customFormat="1">
      <c r="A118" s="116"/>
      <c r="B118" s="23" t="str">
        <f>IF(Contents!$B$2=2,"by segment","по сегментам")</f>
        <v>по сегментам</v>
      </c>
      <c r="C118" s="13"/>
      <c r="D118" s="304"/>
      <c r="E118" s="304"/>
      <c r="F118" s="69"/>
      <c r="G118" s="69"/>
      <c r="H118" s="69"/>
      <c r="I118" s="305"/>
      <c r="J118" s="73"/>
      <c r="K118" s="73"/>
      <c r="L118" s="73"/>
      <c r="M118" s="73"/>
      <c r="N118" s="73"/>
      <c r="O118" s="253"/>
      <c r="P118" s="277"/>
      <c r="Q118" s="511"/>
      <c r="R118" s="297"/>
      <c r="S118" s="56"/>
      <c r="T118" s="56"/>
      <c r="U118" s="56"/>
      <c r="V118" s="56"/>
      <c r="W118" s="56"/>
      <c r="X118" s="56"/>
      <c r="Y118" s="56"/>
      <c r="Z118" s="606"/>
      <c r="AA118" s="585"/>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c r="IQ118" s="14"/>
      <c r="IR118" s="14"/>
    </row>
    <row r="119" spans="1:252" s="1" customFormat="1" ht="27" customHeight="1">
      <c r="A119" s="116"/>
      <c r="B119" s="41" t="str">
        <f>IF(Contents!$B$2=2,"Exploration and production enterprises","Предприятия разведки и добычи")</f>
        <v>Предприятия разведки и добычи</v>
      </c>
      <c r="C119" s="12" t="str">
        <f>IF(Contents!$B$2=2,"th. tons","тыс. т")</f>
        <v>тыс. т</v>
      </c>
      <c r="D119" s="10" t="s">
        <v>185</v>
      </c>
      <c r="E119" s="10" t="s">
        <v>185</v>
      </c>
      <c r="F119" s="10" t="s">
        <v>185</v>
      </c>
      <c r="G119" s="10" t="s">
        <v>185</v>
      </c>
      <c r="H119" s="10" t="s">
        <v>185</v>
      </c>
      <c r="I119" s="10" t="s">
        <v>185</v>
      </c>
      <c r="J119" s="10" t="s">
        <v>185</v>
      </c>
      <c r="K119" s="67">
        <v>63</v>
      </c>
      <c r="L119" s="67">
        <v>41.3</v>
      </c>
      <c r="M119" s="67">
        <v>59.1</v>
      </c>
      <c r="N119" s="68">
        <v>48.6</v>
      </c>
      <c r="O119" s="879"/>
      <c r="P119" s="277"/>
      <c r="Q119" s="511"/>
      <c r="R119" s="71"/>
      <c r="S119" s="71"/>
      <c r="T119" s="71"/>
      <c r="U119" s="71"/>
      <c r="V119" s="71"/>
      <c r="W119" s="277">
        <v>2</v>
      </c>
      <c r="X119" s="297"/>
      <c r="Y119" s="71"/>
      <c r="Z119" s="606"/>
      <c r="AA119" s="585"/>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c r="IJ119" s="14"/>
      <c r="IK119" s="14"/>
      <c r="IL119" s="14"/>
      <c r="IM119" s="14"/>
      <c r="IN119" s="14"/>
      <c r="IO119" s="14"/>
      <c r="IP119" s="14"/>
      <c r="IQ119" s="14"/>
      <c r="IR119" s="14"/>
    </row>
    <row r="120" spans="1:252">
      <c r="A120" s="116"/>
      <c r="B120" s="41" t="str">
        <f>IF(Contents!$B$2=2,"Refineries","Предприятия переработки")</f>
        <v>Предприятия переработки</v>
      </c>
      <c r="C120" s="12" t="str">
        <f>IF(Contents!$B$2=2,"th. tons","тыс. т")</f>
        <v>тыс. т</v>
      </c>
      <c r="D120" s="10" t="s">
        <v>185</v>
      </c>
      <c r="E120" s="10" t="s">
        <v>185</v>
      </c>
      <c r="F120" s="10" t="s">
        <v>185</v>
      </c>
      <c r="G120" s="10" t="s">
        <v>185</v>
      </c>
      <c r="H120" s="10" t="s">
        <v>185</v>
      </c>
      <c r="I120" s="10" t="s">
        <v>185</v>
      </c>
      <c r="J120" s="10" t="s">
        <v>185</v>
      </c>
      <c r="K120" s="67">
        <v>1.7</v>
      </c>
      <c r="L120" s="67">
        <v>3.3</v>
      </c>
      <c r="M120" s="67">
        <v>24.2</v>
      </c>
      <c r="N120" s="68">
        <v>25.5</v>
      </c>
      <c r="P120" s="277"/>
      <c r="Q120" s="511"/>
      <c r="R120" s="55"/>
      <c r="S120" s="55"/>
      <c r="T120" s="55"/>
      <c r="U120" s="55"/>
      <c r="V120" s="55"/>
      <c r="W120" s="277">
        <v>2</v>
      </c>
      <c r="X120" s="297"/>
      <c r="Y120" s="55"/>
      <c r="AA120" s="585"/>
    </row>
    <row r="121" spans="1:252" s="1" customFormat="1">
      <c r="A121" s="116"/>
      <c r="B121" s="41" t="str">
        <f>IF(Contents!$B$2=2,"LNG production enterprises","Предприятия производства СПГ")</f>
        <v>Предприятия производства СПГ</v>
      </c>
      <c r="C121" s="12" t="str">
        <f>IF(Contents!$B$2=2,"th. tons","тыс. т")</f>
        <v>тыс. т</v>
      </c>
      <c r="D121" s="10" t="s">
        <v>185</v>
      </c>
      <c r="E121" s="10" t="s">
        <v>185</v>
      </c>
      <c r="F121" s="10" t="s">
        <v>185</v>
      </c>
      <c r="G121" s="10" t="s">
        <v>185</v>
      </c>
      <c r="H121" s="10" t="s">
        <v>185</v>
      </c>
      <c r="I121" s="10" t="s">
        <v>185</v>
      </c>
      <c r="J121" s="10" t="s">
        <v>185</v>
      </c>
      <c r="K121" s="67">
        <v>23.6</v>
      </c>
      <c r="L121" s="67">
        <v>23.6</v>
      </c>
      <c r="M121" s="67">
        <v>29.6</v>
      </c>
      <c r="N121" s="68">
        <v>31.5</v>
      </c>
      <c r="O121" s="253"/>
      <c r="P121" s="277"/>
      <c r="Q121" s="511"/>
      <c r="R121" s="55"/>
      <c r="S121" s="55"/>
      <c r="T121" s="55"/>
      <c r="U121" s="55"/>
      <c r="V121" s="55"/>
      <c r="W121" s="277">
        <v>2</v>
      </c>
      <c r="X121" s="297"/>
      <c r="Y121" s="55"/>
      <c r="Z121" s="606"/>
      <c r="AA121" s="585"/>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row>
    <row r="122" spans="1:252" s="1" customFormat="1">
      <c r="A122" s="116"/>
      <c r="B122" s="41" t="str">
        <f>IF(Contents!$B$2=2,"Power service enterprises","Предприятия энергосервиса")</f>
        <v>Предприятия энергосервиса</v>
      </c>
      <c r="C122" s="12" t="str">
        <f>IF(Contents!$B$2=2,"th. tons","тыс. т")</f>
        <v>тыс. т</v>
      </c>
      <c r="D122" s="10" t="s">
        <v>185</v>
      </c>
      <c r="E122" s="10" t="s">
        <v>185</v>
      </c>
      <c r="F122" s="10" t="s">
        <v>185</v>
      </c>
      <c r="G122" s="10" t="s">
        <v>185</v>
      </c>
      <c r="H122" s="10" t="s">
        <v>185</v>
      </c>
      <c r="I122" s="10" t="s">
        <v>185</v>
      </c>
      <c r="J122" s="10" t="s">
        <v>185</v>
      </c>
      <c r="K122" s="67">
        <v>0.5</v>
      </c>
      <c r="L122" s="67">
        <v>0.4</v>
      </c>
      <c r="M122" s="67">
        <v>0.5</v>
      </c>
      <c r="N122" s="68">
        <v>0.4</v>
      </c>
      <c r="O122" s="253"/>
      <c r="P122" s="277"/>
      <c r="Q122" s="511"/>
      <c r="R122" s="55"/>
      <c r="S122" s="55"/>
      <c r="T122" s="55"/>
      <c r="U122" s="55"/>
      <c r="V122" s="55"/>
      <c r="W122" s="277">
        <v>2</v>
      </c>
      <c r="X122" s="297"/>
      <c r="Y122" s="55"/>
      <c r="Z122" s="606"/>
      <c r="AA122" s="585"/>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c r="IJ122" s="14"/>
      <c r="IK122" s="14"/>
      <c r="IL122" s="14"/>
      <c r="IM122" s="14"/>
      <c r="IN122" s="14"/>
      <c r="IO122" s="14"/>
      <c r="IP122" s="14"/>
      <c r="IQ122" s="14"/>
      <c r="IR122" s="14"/>
    </row>
    <row r="123" spans="1:252" s="1" customFormat="1">
      <c r="A123" s="116"/>
      <c r="B123" s="41" t="str">
        <f>IF(Contents!$B$2=2,"Sales enterprises","Предприятия сбыта")</f>
        <v>Предприятия сбыта</v>
      </c>
      <c r="C123" s="12" t="str">
        <f>IF(Contents!$B$2=2,"th. tons","тыс. т")</f>
        <v>тыс. т</v>
      </c>
      <c r="D123" s="10" t="s">
        <v>185</v>
      </c>
      <c r="E123" s="10" t="s">
        <v>185</v>
      </c>
      <c r="F123" s="10" t="s">
        <v>185</v>
      </c>
      <c r="G123" s="10" t="s">
        <v>185</v>
      </c>
      <c r="H123" s="10" t="s">
        <v>185</v>
      </c>
      <c r="I123" s="10" t="s">
        <v>185</v>
      </c>
      <c r="J123" s="10" t="s">
        <v>185</v>
      </c>
      <c r="K123" s="67">
        <v>2.1</v>
      </c>
      <c r="L123" s="67">
        <v>2.6</v>
      </c>
      <c r="M123" s="67">
        <v>2.2999999999999998</v>
      </c>
      <c r="N123" s="68">
        <v>2.4</v>
      </c>
      <c r="O123" s="253"/>
      <c r="P123" s="277"/>
      <c r="Q123" s="511"/>
      <c r="R123" s="55"/>
      <c r="S123" s="55"/>
      <c r="T123" s="55"/>
      <c r="U123" s="55"/>
      <c r="V123" s="55"/>
      <c r="W123" s="277">
        <v>2</v>
      </c>
      <c r="X123" s="297"/>
      <c r="Y123" s="55"/>
      <c r="Z123" s="606"/>
      <c r="AA123" s="585"/>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4"/>
      <c r="HD123" s="14"/>
      <c r="HE123" s="14"/>
      <c r="HF123" s="14"/>
      <c r="HG123" s="14"/>
      <c r="HH123" s="14"/>
      <c r="HI123" s="14"/>
      <c r="HJ123" s="14"/>
      <c r="HK123" s="14"/>
      <c r="HL123" s="14"/>
      <c r="HM123" s="14"/>
      <c r="HN123" s="14"/>
      <c r="HO123" s="14"/>
      <c r="HP123" s="14"/>
      <c r="HQ123" s="14"/>
      <c r="HR123" s="14"/>
      <c r="HS123" s="14"/>
      <c r="HT123" s="14"/>
      <c r="HU123" s="14"/>
      <c r="HV123" s="14"/>
      <c r="HW123" s="14"/>
      <c r="HX123" s="14"/>
      <c r="HY123" s="14"/>
      <c r="HZ123" s="14"/>
      <c r="IA123" s="14"/>
      <c r="IB123" s="14"/>
      <c r="IC123" s="14"/>
      <c r="ID123" s="14"/>
      <c r="IE123" s="14"/>
      <c r="IF123" s="14"/>
      <c r="IG123" s="14"/>
      <c r="IH123" s="14"/>
      <c r="II123" s="14"/>
      <c r="IJ123" s="14"/>
      <c r="IK123" s="14"/>
      <c r="IL123" s="14"/>
      <c r="IM123" s="14"/>
      <c r="IN123" s="14"/>
      <c r="IO123" s="14"/>
      <c r="IP123" s="14"/>
      <c r="IQ123" s="14"/>
      <c r="IR123" s="14"/>
    </row>
    <row r="124" spans="1:252" s="1" customFormat="1">
      <c r="A124" s="116"/>
      <c r="B124" s="41" t="str">
        <f>IF(Contents!$B$2=2,"Other enterprises","Прочие предприятия")</f>
        <v>Прочие предприятия</v>
      </c>
      <c r="C124" s="12" t="str">
        <f>IF(Contents!$B$2=2,"th. tons","тыс. т")</f>
        <v>тыс. т</v>
      </c>
      <c r="D124" s="10" t="s">
        <v>185</v>
      </c>
      <c r="E124" s="10" t="s">
        <v>185</v>
      </c>
      <c r="F124" s="10" t="s">
        <v>185</v>
      </c>
      <c r="G124" s="10" t="s">
        <v>185</v>
      </c>
      <c r="H124" s="10" t="s">
        <v>185</v>
      </c>
      <c r="I124" s="10" t="s">
        <v>185</v>
      </c>
      <c r="J124" s="10" t="s">
        <v>185</v>
      </c>
      <c r="K124" s="67">
        <v>0.2</v>
      </c>
      <c r="L124" s="67">
        <v>1.1000000000000001</v>
      </c>
      <c r="M124" s="67">
        <v>2</v>
      </c>
      <c r="N124" s="68">
        <v>1.9</v>
      </c>
      <c r="O124" s="253"/>
      <c r="P124" s="277"/>
      <c r="Q124" s="511"/>
      <c r="R124" s="71"/>
      <c r="S124" s="71"/>
      <c r="T124" s="71"/>
      <c r="U124" s="71"/>
      <c r="V124" s="71"/>
      <c r="W124" s="277">
        <v>2</v>
      </c>
      <c r="X124" s="297"/>
      <c r="Y124" s="71"/>
      <c r="Z124" s="606"/>
      <c r="AA124" s="585"/>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c r="HL124" s="14"/>
      <c r="HM124" s="14"/>
      <c r="HN124" s="14"/>
      <c r="HO124" s="14"/>
      <c r="HP124" s="14"/>
      <c r="HQ124" s="14"/>
      <c r="HR124" s="14"/>
      <c r="HS124" s="14"/>
      <c r="HT124" s="14"/>
      <c r="HU124" s="14"/>
      <c r="HV124" s="14"/>
      <c r="HW124" s="14"/>
      <c r="HX124" s="14"/>
      <c r="HY124" s="14"/>
      <c r="HZ124" s="14"/>
      <c r="IA124" s="14"/>
      <c r="IB124" s="14"/>
      <c r="IC124" s="14"/>
      <c r="ID124" s="14"/>
      <c r="IE124" s="14"/>
      <c r="IF124" s="14"/>
      <c r="IG124" s="14"/>
      <c r="IH124" s="14"/>
      <c r="II124" s="14"/>
      <c r="IJ124" s="14"/>
      <c r="IK124" s="14"/>
      <c r="IL124" s="14"/>
      <c r="IM124" s="14"/>
      <c r="IN124" s="14"/>
      <c r="IO124" s="14"/>
      <c r="IP124" s="14"/>
      <c r="IQ124" s="14"/>
      <c r="IR124" s="14"/>
    </row>
    <row r="125" spans="1:252" s="1" customFormat="1">
      <c r="A125" s="116"/>
      <c r="B125" s="52" t="str">
        <f>IF(Contents!$B$2=2,"Drilling sludge","Буровой шлам")</f>
        <v>Буровой шлам</v>
      </c>
      <c r="C125" s="12" t="str">
        <f>IF(Contents!$B$2=2,"th. tons","тыс. т")</f>
        <v>тыс. т</v>
      </c>
      <c r="D125" s="10" t="s">
        <v>185</v>
      </c>
      <c r="E125" s="10" t="s">
        <v>185</v>
      </c>
      <c r="F125" s="10" t="s">
        <v>185</v>
      </c>
      <c r="G125" s="244" t="s">
        <v>185</v>
      </c>
      <c r="H125" s="244" t="s">
        <v>185</v>
      </c>
      <c r="I125" s="72">
        <v>37.4</v>
      </c>
      <c r="J125" s="72">
        <v>41.4</v>
      </c>
      <c r="K125" s="72">
        <v>74.900000000000006</v>
      </c>
      <c r="L125" s="72">
        <v>55.3</v>
      </c>
      <c r="M125" s="72">
        <v>76.7</v>
      </c>
      <c r="N125" s="68">
        <v>69.7</v>
      </c>
      <c r="O125" s="253"/>
      <c r="P125" s="277" t="str">
        <f>IF(Contents!$B$2=2,"Yes","Да")</f>
        <v>Да</v>
      </c>
      <c r="Q125" s="511"/>
      <c r="R125" s="56" t="s">
        <v>98</v>
      </c>
      <c r="S125" s="308"/>
      <c r="T125" s="308"/>
      <c r="U125" s="308"/>
      <c r="V125" s="308"/>
      <c r="W125" s="277">
        <v>2</v>
      </c>
      <c r="X125" s="277"/>
      <c r="Y125" s="308"/>
      <c r="Z125" s="606"/>
      <c r="AA125" s="585"/>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c r="IJ125" s="14"/>
      <c r="IK125" s="14"/>
      <c r="IL125" s="14"/>
      <c r="IM125" s="14"/>
      <c r="IN125" s="14"/>
      <c r="IO125" s="14"/>
      <c r="IP125" s="14"/>
      <c r="IQ125" s="14"/>
      <c r="IR125" s="14"/>
    </row>
    <row r="126" spans="1:252" s="1" customFormat="1">
      <c r="A126" s="116"/>
      <c r="B126" s="52"/>
      <c r="C126" s="165"/>
      <c r="D126" s="293"/>
      <c r="E126" s="293"/>
      <c r="F126" s="293"/>
      <c r="G126" s="293"/>
      <c r="H126" s="293"/>
      <c r="I126" s="293"/>
      <c r="J126" s="293"/>
      <c r="K126" s="660"/>
      <c r="L126" s="660"/>
      <c r="M126" s="660"/>
      <c r="N126" s="660"/>
      <c r="O126" s="253"/>
      <c r="P126" s="926"/>
      <c r="Q126" s="253"/>
      <c r="R126" s="297"/>
      <c r="S126" s="297"/>
      <c r="T126" s="297"/>
      <c r="U126" s="299"/>
      <c r="V126" s="297"/>
      <c r="W126" s="297"/>
      <c r="X126" s="297"/>
      <c r="Y126" s="297"/>
      <c r="Z126" s="617"/>
      <c r="AA126" s="585"/>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c r="II126" s="14"/>
      <c r="IJ126" s="14"/>
      <c r="IK126" s="14"/>
      <c r="IL126" s="14"/>
      <c r="IM126" s="14"/>
      <c r="IN126" s="14"/>
      <c r="IO126" s="14"/>
      <c r="IP126" s="14"/>
      <c r="IQ126" s="14"/>
      <c r="IR126" s="14"/>
    </row>
    <row r="127" spans="1:252" s="1" customFormat="1">
      <c r="A127" s="116"/>
      <c r="B127" s="196" t="str">
        <f>IF(Contents!$B$2=2,"Waste movement","Движение отходов")</f>
        <v>Движение отходов</v>
      </c>
      <c r="C127" s="42"/>
      <c r="D127" s="302"/>
      <c r="E127" s="302"/>
      <c r="F127" s="302"/>
      <c r="G127" s="302"/>
      <c r="H127" s="302"/>
      <c r="I127" s="309"/>
      <c r="J127" s="309"/>
      <c r="K127" s="309"/>
      <c r="L127" s="309"/>
      <c r="M127" s="309"/>
      <c r="N127" s="309"/>
      <c r="O127" s="253"/>
      <c r="P127" s="56"/>
      <c r="Q127" s="253"/>
      <c r="R127" s="56"/>
      <c r="S127" s="56"/>
      <c r="T127" s="56" t="s">
        <v>97</v>
      </c>
      <c r="U127" s="56"/>
      <c r="V127" s="56"/>
      <c r="W127" s="56"/>
      <c r="X127" s="56"/>
      <c r="Y127" s="56"/>
      <c r="Z127" s="606"/>
      <c r="AA127" s="585"/>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c r="IJ127" s="14"/>
      <c r="IK127" s="14"/>
      <c r="IL127" s="14"/>
      <c r="IM127" s="14"/>
      <c r="IN127" s="14"/>
      <c r="IO127" s="14"/>
      <c r="IP127" s="14"/>
      <c r="IQ127" s="14"/>
      <c r="IR127" s="14"/>
    </row>
    <row r="128" spans="1:252" s="1" customFormat="1">
      <c r="A128" s="116"/>
      <c r="B128" s="23" t="str">
        <f>IF(Contents!$B$2=2,"by direction","по направлениям движения")</f>
        <v>по направлениям движения</v>
      </c>
      <c r="C128" s="13"/>
      <c r="D128" s="310"/>
      <c r="E128" s="310"/>
      <c r="F128" s="310"/>
      <c r="G128" s="310"/>
      <c r="H128" s="310"/>
      <c r="I128" s="310"/>
      <c r="J128" s="310"/>
      <c r="K128" s="310"/>
      <c r="L128" s="310"/>
      <c r="M128" s="310"/>
      <c r="N128" s="310"/>
      <c r="O128" s="253"/>
      <c r="P128" s="55"/>
      <c r="Q128" s="253"/>
      <c r="R128" s="55"/>
      <c r="S128" s="55"/>
      <c r="T128" s="55"/>
      <c r="U128" s="55"/>
      <c r="V128" s="55"/>
      <c r="W128" s="55"/>
      <c r="X128" s="55"/>
      <c r="Y128" s="55"/>
      <c r="Z128" s="606"/>
      <c r="AA128" s="585"/>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c r="II128" s="14"/>
      <c r="IJ128" s="14"/>
      <c r="IK128" s="14"/>
      <c r="IL128" s="14"/>
      <c r="IM128" s="14"/>
      <c r="IN128" s="14"/>
      <c r="IO128" s="14"/>
      <c r="IP128" s="14"/>
      <c r="IQ128" s="14"/>
      <c r="IR128" s="14"/>
    </row>
    <row r="129" spans="1:252" s="1" customFormat="1">
      <c r="A129" s="116"/>
      <c r="B129" s="311" t="str">
        <f>IF(Contents!$B$2=2,"Waste at the beginning of the year","Наличие отходов на начало года")</f>
        <v>Наличие отходов на начало года</v>
      </c>
      <c r="C129" s="12" t="str">
        <f>IF(Contents!$B$2=2,"tons","т")</f>
        <v>т</v>
      </c>
      <c r="D129" s="312" t="s">
        <v>185</v>
      </c>
      <c r="E129" s="312" t="s">
        <v>185</v>
      </c>
      <c r="F129" s="312" t="s">
        <v>185</v>
      </c>
      <c r="G129" s="312" t="s">
        <v>185</v>
      </c>
      <c r="H129" s="306" t="s">
        <v>185</v>
      </c>
      <c r="I129" s="306">
        <v>9.6999999999999993</v>
      </c>
      <c r="J129" s="306">
        <v>13200.44</v>
      </c>
      <c r="K129" s="306">
        <v>7905</v>
      </c>
      <c r="L129" s="306">
        <v>2856</v>
      </c>
      <c r="M129" s="306">
        <v>4350</v>
      </c>
      <c r="N129" s="827">
        <v>1665</v>
      </c>
      <c r="O129" s="253"/>
      <c r="P129" s="277" t="str">
        <f>IF(Contents!$B$2=2,"Yes","Да")</f>
        <v>Да</v>
      </c>
      <c r="Q129" s="253"/>
      <c r="R129" s="55"/>
      <c r="S129" s="55"/>
      <c r="T129" s="55"/>
      <c r="U129" s="55"/>
      <c r="V129" s="55"/>
      <c r="W129" s="277">
        <v>2</v>
      </c>
      <c r="X129" s="297"/>
      <c r="Y129" s="55"/>
      <c r="Z129" s="606"/>
      <c r="AA129" s="585"/>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c r="II129" s="14"/>
      <c r="IJ129" s="14"/>
      <c r="IK129" s="14"/>
      <c r="IL129" s="14"/>
      <c r="IM129" s="14"/>
      <c r="IN129" s="14"/>
      <c r="IO129" s="14"/>
      <c r="IP129" s="14"/>
      <c r="IQ129" s="14"/>
      <c r="IR129" s="14"/>
    </row>
    <row r="130" spans="1:252" s="1" customFormat="1">
      <c r="A130" s="116"/>
      <c r="B130" s="285" t="str">
        <f>IF(Contents!$B$2=2,"Hazardous waste","Опасные отходы")</f>
        <v>Опасные отходы</v>
      </c>
      <c r="C130" s="12" t="str">
        <f>IF(Contents!$B$2=2,"tons","т")</f>
        <v>т</v>
      </c>
      <c r="D130" s="312" t="s">
        <v>185</v>
      </c>
      <c r="E130" s="312" t="s">
        <v>185</v>
      </c>
      <c r="F130" s="312" t="s">
        <v>185</v>
      </c>
      <c r="G130" s="312" t="s">
        <v>185</v>
      </c>
      <c r="H130" s="306" t="s">
        <v>185</v>
      </c>
      <c r="I130" s="306" t="s">
        <v>185</v>
      </c>
      <c r="J130" s="101">
        <v>0.44</v>
      </c>
      <c r="K130" s="101">
        <v>2</v>
      </c>
      <c r="L130" s="101">
        <v>20</v>
      </c>
      <c r="M130" s="101">
        <v>29</v>
      </c>
      <c r="N130" s="307">
        <v>84</v>
      </c>
      <c r="O130" s="253"/>
      <c r="P130" s="277" t="str">
        <f>IF(Contents!$B$2=2,"Yes","Да")</f>
        <v>Да</v>
      </c>
      <c r="Q130" s="253"/>
      <c r="R130" s="55"/>
      <c r="S130" s="55"/>
      <c r="T130" s="55"/>
      <c r="U130" s="55"/>
      <c r="V130" s="55"/>
      <c r="W130" s="277">
        <v>2</v>
      </c>
      <c r="X130" s="297"/>
      <c r="Y130" s="55"/>
      <c r="Z130" s="606"/>
      <c r="AA130" s="585"/>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c r="II130" s="14"/>
      <c r="IJ130" s="14"/>
      <c r="IK130" s="14"/>
      <c r="IL130" s="14"/>
      <c r="IM130" s="14"/>
      <c r="IN130" s="14"/>
      <c r="IO130" s="14"/>
      <c r="IP130" s="14"/>
      <c r="IQ130" s="14"/>
      <c r="IR130" s="14"/>
    </row>
    <row r="131" spans="1:252" s="1" customFormat="1" ht="25.5">
      <c r="A131" s="116"/>
      <c r="B131" s="285" t="str">
        <f>IF(Contents!$B$2=2,"Non-hazardous waste","Неопасные отходы")</f>
        <v>Неопасные отходы</v>
      </c>
      <c r="C131" s="12" t="str">
        <f>IF(Contents!$B$2=2,"tons","т")</f>
        <v>т</v>
      </c>
      <c r="D131" s="312" t="s">
        <v>185</v>
      </c>
      <c r="E131" s="312" t="s">
        <v>185</v>
      </c>
      <c r="F131" s="312" t="s">
        <v>185</v>
      </c>
      <c r="G131" s="312" t="s">
        <v>185</v>
      </c>
      <c r="H131" s="306" t="s">
        <v>185</v>
      </c>
      <c r="I131" s="306" t="s">
        <v>185</v>
      </c>
      <c r="J131" s="101">
        <v>13200</v>
      </c>
      <c r="K131" s="101">
        <v>7903</v>
      </c>
      <c r="L131" s="101">
        <v>2836</v>
      </c>
      <c r="M131" s="101">
        <v>4321</v>
      </c>
      <c r="N131" s="307">
        <v>1581</v>
      </c>
      <c r="O131" s="253"/>
      <c r="P131" s="277" t="str">
        <f>IF(Contents!$B$2=2,"Yes","Да")</f>
        <v>Да</v>
      </c>
      <c r="Q131" s="253"/>
      <c r="R131" s="313" t="s">
        <v>99</v>
      </c>
      <c r="S131" s="55"/>
      <c r="T131" s="56" t="s">
        <v>97</v>
      </c>
      <c r="U131" s="273" t="str">
        <f>IF(Contents!$B$2=2,"PBCS 6","СОКБ 6")</f>
        <v>СОКБ 6</v>
      </c>
      <c r="V131" s="56"/>
      <c r="W131" s="277">
        <v>2</v>
      </c>
      <c r="X131" s="297"/>
      <c r="Y131" s="56"/>
      <c r="Z131" s="606"/>
      <c r="AA131" s="585"/>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c r="IJ131" s="14"/>
      <c r="IK131" s="14"/>
      <c r="IL131" s="14"/>
      <c r="IM131" s="14"/>
      <c r="IN131" s="14"/>
      <c r="IO131" s="14"/>
      <c r="IP131" s="14"/>
      <c r="IQ131" s="14"/>
      <c r="IR131" s="14"/>
    </row>
    <row r="132" spans="1:252" s="1" customFormat="1" ht="25.5">
      <c r="A132" s="116"/>
      <c r="B132" s="311" t="str">
        <f>IF(Contents!$B$2=2,"Reused waste","Повторно используемые отходы")</f>
        <v>Повторно используемые отходы</v>
      </c>
      <c r="C132" s="12" t="str">
        <f>IF(Contents!$B$2=2,"tons","т")</f>
        <v>т</v>
      </c>
      <c r="D132" s="312" t="s">
        <v>185</v>
      </c>
      <c r="E132" s="312" t="s">
        <v>185</v>
      </c>
      <c r="F132" s="312" t="s">
        <v>185</v>
      </c>
      <c r="G132" s="312" t="s">
        <v>185</v>
      </c>
      <c r="H132" s="306" t="s">
        <v>185</v>
      </c>
      <c r="I132" s="306">
        <v>0</v>
      </c>
      <c r="J132" s="306">
        <v>0</v>
      </c>
      <c r="K132" s="306">
        <v>0</v>
      </c>
      <c r="L132" s="306">
        <v>0</v>
      </c>
      <c r="M132" s="306">
        <v>0</v>
      </c>
      <c r="N132" s="827">
        <v>0</v>
      </c>
      <c r="O132" s="253"/>
      <c r="P132" s="277" t="str">
        <f>IF(Contents!$B$2=2,"Yes","Да")</f>
        <v>Да</v>
      </c>
      <c r="Q132" s="253"/>
      <c r="R132" s="313" t="s">
        <v>99</v>
      </c>
      <c r="S132" s="55"/>
      <c r="T132" s="56" t="s">
        <v>97</v>
      </c>
      <c r="U132" s="273" t="str">
        <f>IF(Contents!$B$2=2,"PBCS 6","СОКБ 6")</f>
        <v>СОКБ 6</v>
      </c>
      <c r="V132" s="56"/>
      <c r="W132" s="277">
        <v>2</v>
      </c>
      <c r="X132" s="297"/>
      <c r="Y132" s="56"/>
      <c r="Z132" s="606"/>
      <c r="AA132" s="585"/>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c r="IJ132" s="14"/>
      <c r="IK132" s="14"/>
      <c r="IL132" s="14"/>
      <c r="IM132" s="14"/>
      <c r="IN132" s="14"/>
      <c r="IO132" s="14"/>
      <c r="IP132" s="14"/>
      <c r="IQ132" s="14"/>
      <c r="IR132" s="14"/>
    </row>
    <row r="133" spans="1:252" s="1" customFormat="1">
      <c r="A133" s="116"/>
      <c r="B133" s="285" t="str">
        <f>IF(Contents!$B$2=2,"Hazardous waste","Опасные отходы")</f>
        <v>Опасные отходы</v>
      </c>
      <c r="C133" s="12" t="str">
        <f>IF(Contents!$B$2=2,"tons","т")</f>
        <v>т</v>
      </c>
      <c r="D133" s="312" t="s">
        <v>185</v>
      </c>
      <c r="E133" s="312" t="s">
        <v>185</v>
      </c>
      <c r="F133" s="312" t="s">
        <v>185</v>
      </c>
      <c r="G133" s="312" t="s">
        <v>185</v>
      </c>
      <c r="H133" s="306" t="s">
        <v>185</v>
      </c>
      <c r="I133" s="306">
        <v>0</v>
      </c>
      <c r="J133" s="101">
        <v>0</v>
      </c>
      <c r="K133" s="101">
        <v>0</v>
      </c>
      <c r="L133" s="101">
        <v>0</v>
      </c>
      <c r="M133" s="101">
        <v>0</v>
      </c>
      <c r="N133" s="307">
        <v>0</v>
      </c>
      <c r="O133" s="253"/>
      <c r="P133" s="277" t="str">
        <f>IF(Contents!$B$2=2,"Yes","Да")</f>
        <v>Да</v>
      </c>
      <c r="Q133" s="253"/>
      <c r="R133" s="55"/>
      <c r="S133" s="55"/>
      <c r="T133" s="55"/>
      <c r="U133" s="55"/>
      <c r="V133" s="55"/>
      <c r="W133" s="277">
        <v>2</v>
      </c>
      <c r="X133" s="297"/>
      <c r="Y133" s="55"/>
      <c r="Z133" s="606"/>
      <c r="AA133" s="585"/>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c r="IJ133" s="14"/>
      <c r="IK133" s="14"/>
      <c r="IL133" s="14"/>
      <c r="IM133" s="14"/>
      <c r="IN133" s="14"/>
      <c r="IO133" s="14"/>
      <c r="IP133" s="14"/>
      <c r="IQ133" s="14"/>
      <c r="IR133" s="14"/>
    </row>
    <row r="134" spans="1:252" s="1" customFormat="1">
      <c r="A134" s="116"/>
      <c r="B134" s="285" t="str">
        <f>IF(Contents!$B$2=2,"Non-hazardous waste","Неопасные отходы")</f>
        <v>Неопасные отходы</v>
      </c>
      <c r="C134" s="12" t="str">
        <f>IF(Contents!$B$2=2,"tons","т")</f>
        <v>т</v>
      </c>
      <c r="D134" s="312" t="s">
        <v>185</v>
      </c>
      <c r="E134" s="312" t="s">
        <v>185</v>
      </c>
      <c r="F134" s="312" t="s">
        <v>185</v>
      </c>
      <c r="G134" s="312" t="s">
        <v>185</v>
      </c>
      <c r="H134" s="306" t="s">
        <v>185</v>
      </c>
      <c r="I134" s="306">
        <v>0</v>
      </c>
      <c r="J134" s="101">
        <v>0</v>
      </c>
      <c r="K134" s="101">
        <v>0</v>
      </c>
      <c r="L134" s="101">
        <v>0</v>
      </c>
      <c r="M134" s="101">
        <v>0</v>
      </c>
      <c r="N134" s="307">
        <v>0</v>
      </c>
      <c r="O134" s="253"/>
      <c r="P134" s="277" t="str">
        <f>IF(Contents!$B$2=2,"Yes","Да")</f>
        <v>Да</v>
      </c>
      <c r="Q134" s="253"/>
      <c r="R134" s="55"/>
      <c r="S134" s="55"/>
      <c r="T134" s="55"/>
      <c r="U134" s="55"/>
      <c r="V134" s="55"/>
      <c r="W134" s="277">
        <v>2</v>
      </c>
      <c r="X134" s="297"/>
      <c r="Y134" s="55"/>
      <c r="Z134" s="606"/>
      <c r="AA134" s="585"/>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row>
    <row r="135" spans="1:252" s="1" customFormat="1">
      <c r="A135" s="116"/>
      <c r="B135" s="311" t="str">
        <f>IF(Contents!$B$2=2,"Waste processed at the Company's premises","Отходы, направленные на утилизацию на территории Компании")</f>
        <v>Отходы, направленные на утилизацию на территории Компании</v>
      </c>
      <c r="C135" s="12" t="str">
        <f>IF(Contents!$B$2=2,"tons","т")</f>
        <v>т</v>
      </c>
      <c r="D135" s="312" t="s">
        <v>185</v>
      </c>
      <c r="E135" s="312" t="s">
        <v>185</v>
      </c>
      <c r="F135" s="312" t="s">
        <v>185</v>
      </c>
      <c r="G135" s="312" t="s">
        <v>185</v>
      </c>
      <c r="H135" s="306" t="s">
        <v>185</v>
      </c>
      <c r="I135" s="306">
        <v>6160</v>
      </c>
      <c r="J135" s="306">
        <v>5272</v>
      </c>
      <c r="K135" s="306">
        <v>10656</v>
      </c>
      <c r="L135" s="306">
        <v>8455</v>
      </c>
      <c r="M135" s="306">
        <v>12644</v>
      </c>
      <c r="N135" s="827">
        <v>11146</v>
      </c>
      <c r="O135" s="253"/>
      <c r="P135" s="277" t="str">
        <f>IF(Contents!$B$2=2,"Yes","Да")</f>
        <v>Да</v>
      </c>
      <c r="Q135" s="253"/>
      <c r="R135" s="55"/>
      <c r="S135" s="55"/>
      <c r="T135" s="55"/>
      <c r="U135" s="55"/>
      <c r="V135" s="55"/>
      <c r="W135" s="277">
        <v>2</v>
      </c>
      <c r="X135" s="297"/>
      <c r="Y135" s="55"/>
      <c r="Z135" s="606"/>
      <c r="AA135" s="585"/>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row>
    <row r="136" spans="1:252">
      <c r="A136" s="116"/>
      <c r="B136" s="285" t="str">
        <f>IF(Contents!$B$2=2,"Hazardous waste","Опасные отходы")</f>
        <v>Опасные отходы</v>
      </c>
      <c r="C136" s="12" t="str">
        <f>IF(Contents!$B$2=2,"tons","т")</f>
        <v>т</v>
      </c>
      <c r="D136" s="312" t="s">
        <v>185</v>
      </c>
      <c r="E136" s="312" t="s">
        <v>185</v>
      </c>
      <c r="F136" s="312" t="s">
        <v>185</v>
      </c>
      <c r="G136" s="312" t="s">
        <v>185</v>
      </c>
      <c r="H136" s="306" t="s">
        <v>185</v>
      </c>
      <c r="I136" s="306">
        <v>0</v>
      </c>
      <c r="J136" s="101">
        <v>0</v>
      </c>
      <c r="K136" s="101">
        <v>0</v>
      </c>
      <c r="L136" s="101">
        <v>0</v>
      </c>
      <c r="M136" s="101">
        <v>0</v>
      </c>
      <c r="N136" s="307">
        <v>0</v>
      </c>
      <c r="P136" s="277" t="str">
        <f>IF(Contents!$B$2=2,"Yes","Да")</f>
        <v>Да</v>
      </c>
      <c r="R136" s="55"/>
      <c r="S136" s="55"/>
      <c r="T136" s="55"/>
      <c r="U136" s="55"/>
      <c r="V136" s="55"/>
      <c r="W136" s="277">
        <v>2</v>
      </c>
      <c r="X136" s="297"/>
      <c r="Y136" s="55"/>
      <c r="AA136" s="585"/>
    </row>
    <row r="137" spans="1:252">
      <c r="A137" s="116"/>
      <c r="B137" s="285" t="str">
        <f>IF(Contents!$B$2=2,"Non-hazardous waste","Неопасные отходы")</f>
        <v>Неопасные отходы</v>
      </c>
      <c r="C137" s="12" t="str">
        <f>IF(Contents!$B$2=2,"tons","т")</f>
        <v>т</v>
      </c>
      <c r="D137" s="312" t="s">
        <v>185</v>
      </c>
      <c r="E137" s="312" t="s">
        <v>185</v>
      </c>
      <c r="F137" s="312" t="s">
        <v>185</v>
      </c>
      <c r="G137" s="312" t="s">
        <v>185</v>
      </c>
      <c r="H137" s="306" t="s">
        <v>185</v>
      </c>
      <c r="I137" s="306">
        <v>6160</v>
      </c>
      <c r="J137" s="101">
        <v>5272</v>
      </c>
      <c r="K137" s="101">
        <v>10656</v>
      </c>
      <c r="L137" s="101">
        <v>8455</v>
      </c>
      <c r="M137" s="101">
        <v>12644</v>
      </c>
      <c r="N137" s="307">
        <v>11146</v>
      </c>
      <c r="P137" s="277" t="str">
        <f>IF(Contents!$B$2=2,"Yes","Да")</f>
        <v>Да</v>
      </c>
      <c r="R137" s="55"/>
      <c r="S137" s="55"/>
      <c r="T137" s="55"/>
      <c r="U137" s="55"/>
      <c r="V137" s="55"/>
      <c r="W137" s="277">
        <v>2</v>
      </c>
      <c r="X137" s="297"/>
      <c r="Y137" s="55"/>
      <c r="AA137" s="585"/>
    </row>
    <row r="138" spans="1:252" ht="25.5">
      <c r="A138" s="116"/>
      <c r="B138" s="311" t="str">
        <f>IF(Contents!$B$2=2,"Waste utilized by third parties","Отходы, направленные на утилизацию в сторонние организации")</f>
        <v>Отходы, направленные на утилизацию в сторонние организации</v>
      </c>
      <c r="C138" s="12" t="str">
        <f>IF(Contents!$B$2=2,"tons","т")</f>
        <v>т</v>
      </c>
      <c r="D138" s="312" t="s">
        <v>185</v>
      </c>
      <c r="E138" s="312" t="s">
        <v>185</v>
      </c>
      <c r="F138" s="312" t="s">
        <v>185</v>
      </c>
      <c r="G138" s="312" t="s">
        <v>185</v>
      </c>
      <c r="H138" s="306" t="s">
        <v>185</v>
      </c>
      <c r="I138" s="306">
        <v>16437</v>
      </c>
      <c r="J138" s="306">
        <v>43766</v>
      </c>
      <c r="K138" s="306">
        <v>75195</v>
      </c>
      <c r="L138" s="306">
        <v>50219</v>
      </c>
      <c r="M138" s="306">
        <v>74071</v>
      </c>
      <c r="N138" s="827">
        <v>65120</v>
      </c>
      <c r="P138" s="277" t="str">
        <f>IF(Contents!$B$2=2,"Yes","Да")</f>
        <v>Да</v>
      </c>
      <c r="R138" s="313" t="s">
        <v>99</v>
      </c>
      <c r="S138" s="55"/>
      <c r="T138" s="56" t="s">
        <v>97</v>
      </c>
      <c r="U138" s="273" t="str">
        <f>IF(Contents!$B$2=2,"PBCS 6","СОКБ 6")</f>
        <v>СОКБ 6</v>
      </c>
      <c r="V138" s="56"/>
      <c r="W138" s="277">
        <v>2</v>
      </c>
      <c r="X138" s="297"/>
      <c r="Y138" s="56"/>
      <c r="AA138" s="585"/>
    </row>
    <row r="139" spans="1:252" s="1" customFormat="1">
      <c r="A139" s="116"/>
      <c r="B139" s="285" t="str">
        <f>IF(Contents!$B$2=2,"Hazardous waste","Опасные отходы")</f>
        <v>Опасные отходы</v>
      </c>
      <c r="C139" s="12" t="str">
        <f>IF(Contents!$B$2=2,"tons","т")</f>
        <v>т</v>
      </c>
      <c r="D139" s="312" t="s">
        <v>185</v>
      </c>
      <c r="E139" s="312" t="s">
        <v>185</v>
      </c>
      <c r="F139" s="312" t="s">
        <v>185</v>
      </c>
      <c r="G139" s="312" t="s">
        <v>185</v>
      </c>
      <c r="H139" s="306" t="s">
        <v>185</v>
      </c>
      <c r="I139" s="306">
        <v>27</v>
      </c>
      <c r="J139" s="101">
        <v>36</v>
      </c>
      <c r="K139" s="101">
        <v>17</v>
      </c>
      <c r="L139" s="101">
        <v>40</v>
      </c>
      <c r="M139" s="101">
        <v>92</v>
      </c>
      <c r="N139" s="307">
        <v>100</v>
      </c>
      <c r="O139" s="253"/>
      <c r="P139" s="277" t="str">
        <f>IF(Contents!$B$2=2,"Yes","Да")</f>
        <v>Да</v>
      </c>
      <c r="Q139" s="253"/>
      <c r="R139" s="55"/>
      <c r="S139" s="55"/>
      <c r="T139" s="55"/>
      <c r="U139" s="55"/>
      <c r="V139" s="55"/>
      <c r="W139" s="277">
        <v>2</v>
      </c>
      <c r="X139" s="297"/>
      <c r="Y139" s="55"/>
      <c r="Z139" s="606"/>
      <c r="AA139" s="585"/>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row>
    <row r="140" spans="1:252" s="1" customFormat="1">
      <c r="A140" s="116"/>
      <c r="B140" s="285" t="str">
        <f>IF(Contents!$B$2=2,"Non-hazardous waste","Неопасные отходы")</f>
        <v>Неопасные отходы</v>
      </c>
      <c r="C140" s="12" t="str">
        <f>IF(Contents!$B$2=2,"tons","т")</f>
        <v>т</v>
      </c>
      <c r="D140" s="312" t="s">
        <v>185</v>
      </c>
      <c r="E140" s="312" t="s">
        <v>185</v>
      </c>
      <c r="F140" s="312" t="s">
        <v>185</v>
      </c>
      <c r="G140" s="312" t="s">
        <v>185</v>
      </c>
      <c r="H140" s="306" t="s">
        <v>185</v>
      </c>
      <c r="I140" s="306">
        <v>16410</v>
      </c>
      <c r="J140" s="101">
        <v>43730</v>
      </c>
      <c r="K140" s="101">
        <v>75178</v>
      </c>
      <c r="L140" s="101">
        <v>50179</v>
      </c>
      <c r="M140" s="101">
        <v>73979</v>
      </c>
      <c r="N140" s="307">
        <v>65020</v>
      </c>
      <c r="O140" s="253"/>
      <c r="P140" s="277" t="str">
        <f>IF(Contents!$B$2=2,"Yes","Да")</f>
        <v>Да</v>
      </c>
      <c r="Q140" s="253"/>
      <c r="R140" s="55"/>
      <c r="S140" s="55"/>
      <c r="T140" s="55"/>
      <c r="U140" s="55"/>
      <c r="V140" s="55"/>
      <c r="W140" s="277">
        <v>2</v>
      </c>
      <c r="X140" s="297"/>
      <c r="Y140" s="55"/>
      <c r="Z140" s="606"/>
      <c r="AA140" s="585"/>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row>
    <row r="141" spans="1:252" s="1" customFormat="1" ht="25.5">
      <c r="A141" s="116"/>
      <c r="B141" s="311" t="str">
        <f>IF(Contents!$B$2=2,"Waste neutralized by the Company","Отходы, направленные на обезвреживание на территории Компании")</f>
        <v>Отходы, направленные на обезвреживание на территории Компании</v>
      </c>
      <c r="C141" s="12" t="str">
        <f>IF(Contents!$B$2=2,"tons","т")</f>
        <v>т</v>
      </c>
      <c r="D141" s="312" t="s">
        <v>185</v>
      </c>
      <c r="E141" s="312" t="s">
        <v>185</v>
      </c>
      <c r="F141" s="312" t="s">
        <v>185</v>
      </c>
      <c r="G141" s="312" t="s">
        <v>185</v>
      </c>
      <c r="H141" s="306" t="s">
        <v>185</v>
      </c>
      <c r="I141" s="306">
        <v>5926</v>
      </c>
      <c r="J141" s="306">
        <v>4567.0209999999997</v>
      </c>
      <c r="K141" s="306">
        <v>4882</v>
      </c>
      <c r="L141" s="306">
        <v>3926</v>
      </c>
      <c r="M141" s="306">
        <v>24161</v>
      </c>
      <c r="N141" s="827">
        <v>22394</v>
      </c>
      <c r="O141" s="253"/>
      <c r="P141" s="277" t="str">
        <f>IF(Contents!$B$2=2,"Yes","Да")</f>
        <v>Да</v>
      </c>
      <c r="Q141" s="253"/>
      <c r="R141" s="313" t="s">
        <v>99</v>
      </c>
      <c r="S141" s="55"/>
      <c r="T141" s="56" t="s">
        <v>97</v>
      </c>
      <c r="U141" s="273" t="str">
        <f>IF(Contents!$B$2=2,"PBCS 6","СОКБ 6")</f>
        <v>СОКБ 6</v>
      </c>
      <c r="V141" s="56"/>
      <c r="W141" s="277">
        <v>2</v>
      </c>
      <c r="X141" s="297"/>
      <c r="Y141" s="56"/>
      <c r="Z141" s="606"/>
      <c r="AA141" s="585"/>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row>
    <row r="142" spans="1:252" s="1" customFormat="1">
      <c r="A142" s="116"/>
      <c r="B142" s="285" t="str">
        <f>IF(Contents!$B$2=2,"Hazardous waste","Опасные отходы")</f>
        <v>Опасные отходы</v>
      </c>
      <c r="C142" s="12" t="str">
        <f>IF(Contents!$B$2=2,"tons","т")</f>
        <v>т</v>
      </c>
      <c r="D142" s="312" t="s">
        <v>185</v>
      </c>
      <c r="E142" s="312" t="s">
        <v>185</v>
      </c>
      <c r="F142" s="312" t="s">
        <v>185</v>
      </c>
      <c r="G142" s="312" t="s">
        <v>185</v>
      </c>
      <c r="H142" s="306" t="s">
        <v>185</v>
      </c>
      <c r="I142" s="306">
        <v>0</v>
      </c>
      <c r="J142" s="101">
        <v>2.0999999999999998E-2</v>
      </c>
      <c r="K142" s="101">
        <v>0</v>
      </c>
      <c r="L142" s="101">
        <v>0</v>
      </c>
      <c r="M142" s="101">
        <v>0</v>
      </c>
      <c r="N142" s="307">
        <v>0</v>
      </c>
      <c r="O142" s="253"/>
      <c r="P142" s="277" t="str">
        <f>IF(Contents!$B$2=2,"Yes","Да")</f>
        <v>Да</v>
      </c>
      <c r="Q142" s="253"/>
      <c r="R142" s="55"/>
      <c r="S142" s="55"/>
      <c r="T142" s="55"/>
      <c r="U142" s="55"/>
      <c r="V142" s="55"/>
      <c r="W142" s="277">
        <v>2</v>
      </c>
      <c r="X142" s="297"/>
      <c r="Y142" s="55"/>
      <c r="Z142" s="606"/>
      <c r="AA142" s="585"/>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row>
    <row r="143" spans="1:252" s="1" customFormat="1">
      <c r="A143" s="116"/>
      <c r="B143" s="285" t="str">
        <f>IF(Contents!$B$2=2,"Non-hazardous waste","Неопасные отходы")</f>
        <v>Неопасные отходы</v>
      </c>
      <c r="C143" s="12" t="str">
        <f>IF(Contents!$B$2=2,"tons","т")</f>
        <v>т</v>
      </c>
      <c r="D143" s="312" t="s">
        <v>185</v>
      </c>
      <c r="E143" s="312" t="s">
        <v>185</v>
      </c>
      <c r="F143" s="312" t="s">
        <v>185</v>
      </c>
      <c r="G143" s="312" t="s">
        <v>185</v>
      </c>
      <c r="H143" s="306" t="s">
        <v>185</v>
      </c>
      <c r="I143" s="306">
        <v>5926</v>
      </c>
      <c r="J143" s="101">
        <v>4567</v>
      </c>
      <c r="K143" s="101">
        <v>4882</v>
      </c>
      <c r="L143" s="101">
        <v>3926</v>
      </c>
      <c r="M143" s="101">
        <v>24161</v>
      </c>
      <c r="N143" s="307">
        <v>22394</v>
      </c>
      <c r="O143" s="253"/>
      <c r="P143" s="277" t="str">
        <f>IF(Contents!$B$2=2,"Yes","Да")</f>
        <v>Да</v>
      </c>
      <c r="Q143" s="253"/>
      <c r="R143" s="55"/>
      <c r="S143" s="55"/>
      <c r="T143" s="55"/>
      <c r="U143" s="55"/>
      <c r="V143" s="55"/>
      <c r="W143" s="277">
        <v>2</v>
      </c>
      <c r="X143" s="297"/>
      <c r="Y143" s="55"/>
      <c r="Z143" s="606"/>
      <c r="AA143" s="585"/>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row>
    <row r="144" spans="1:252" s="1" customFormat="1" ht="25.5">
      <c r="A144" s="116"/>
      <c r="B144" s="311" t="str">
        <f>IF(Contents!$B$2=2,"Waste neutralized by third parties","Отходы, направленные на обезвреживание в сторонние организации")</f>
        <v>Отходы, направленные на обезвреживание в сторонние организации</v>
      </c>
      <c r="C144" s="12" t="str">
        <f>IF(Contents!$B$2=2,"tons","т")</f>
        <v>т</v>
      </c>
      <c r="D144" s="312" t="s">
        <v>185</v>
      </c>
      <c r="E144" s="312" t="s">
        <v>185</v>
      </c>
      <c r="F144" s="312" t="s">
        <v>185</v>
      </c>
      <c r="G144" s="312" t="s">
        <v>185</v>
      </c>
      <c r="H144" s="306" t="s">
        <v>185</v>
      </c>
      <c r="I144" s="306">
        <v>10597</v>
      </c>
      <c r="J144" s="306">
        <v>1960</v>
      </c>
      <c r="K144" s="306">
        <v>2951</v>
      </c>
      <c r="L144" s="306">
        <v>4504</v>
      </c>
      <c r="M144" s="306">
        <v>4956</v>
      </c>
      <c r="N144" s="827">
        <v>4475</v>
      </c>
      <c r="O144" s="253"/>
      <c r="P144" s="277" t="str">
        <f>IF(Contents!$B$2=2,"Yes","Да")</f>
        <v>Да</v>
      </c>
      <c r="Q144" s="253"/>
      <c r="R144" s="313" t="s">
        <v>99</v>
      </c>
      <c r="S144" s="55"/>
      <c r="T144" s="56" t="s">
        <v>97</v>
      </c>
      <c r="U144" s="273" t="str">
        <f>IF(Contents!$B$2=2,"PBCS 6","СОКБ 6")</f>
        <v>СОКБ 6</v>
      </c>
      <c r="V144" s="56"/>
      <c r="W144" s="277">
        <v>2</v>
      </c>
      <c r="X144" s="297"/>
      <c r="Y144" s="56"/>
      <c r="Z144" s="606"/>
      <c r="AA144" s="585"/>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row>
    <row r="145" spans="1:252" s="1" customFormat="1">
      <c r="A145" s="116"/>
      <c r="B145" s="285" t="str">
        <f>IF(Contents!$B$2=2,"Hazardous waste","Опасные отходы")</f>
        <v>Опасные отходы</v>
      </c>
      <c r="C145" s="12" t="str">
        <f>IF(Contents!$B$2=2,"tons","т")</f>
        <v>т</v>
      </c>
      <c r="D145" s="312" t="s">
        <v>185</v>
      </c>
      <c r="E145" s="312" t="s">
        <v>185</v>
      </c>
      <c r="F145" s="312" t="s">
        <v>185</v>
      </c>
      <c r="G145" s="312" t="s">
        <v>185</v>
      </c>
      <c r="H145" s="306" t="s">
        <v>185</v>
      </c>
      <c r="I145" s="306">
        <v>3</v>
      </c>
      <c r="J145" s="101">
        <v>2</v>
      </c>
      <c r="K145" s="101">
        <v>4</v>
      </c>
      <c r="L145" s="101">
        <v>9</v>
      </c>
      <c r="M145" s="101">
        <v>7</v>
      </c>
      <c r="N145" s="307">
        <v>11</v>
      </c>
      <c r="O145" s="253"/>
      <c r="P145" s="277" t="str">
        <f>IF(Contents!$B$2=2,"Yes","Да")</f>
        <v>Да</v>
      </c>
      <c r="Q145" s="253"/>
      <c r="R145" s="55"/>
      <c r="S145" s="55"/>
      <c r="T145" s="55"/>
      <c r="U145" s="55"/>
      <c r="V145" s="55"/>
      <c r="W145" s="277">
        <v>2</v>
      </c>
      <c r="X145" s="297"/>
      <c r="Y145" s="55"/>
      <c r="Z145" s="606"/>
      <c r="AA145" s="585"/>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row>
    <row r="146" spans="1:252" s="1" customFormat="1">
      <c r="A146" s="116"/>
      <c r="B146" s="285" t="str">
        <f>IF(Contents!$B$2=2,"Non-hazardous waste","Неопасные отходы")</f>
        <v>Неопасные отходы</v>
      </c>
      <c r="C146" s="12" t="str">
        <f>IF(Contents!$B$2=2,"tons","т")</f>
        <v>т</v>
      </c>
      <c r="D146" s="312" t="s">
        <v>185</v>
      </c>
      <c r="E146" s="312" t="s">
        <v>185</v>
      </c>
      <c r="F146" s="312" t="s">
        <v>185</v>
      </c>
      <c r="G146" s="312" t="s">
        <v>185</v>
      </c>
      <c r="H146" s="306" t="s">
        <v>185</v>
      </c>
      <c r="I146" s="306">
        <v>10594</v>
      </c>
      <c r="J146" s="101">
        <v>1958</v>
      </c>
      <c r="K146" s="101">
        <v>2947</v>
      </c>
      <c r="L146" s="101">
        <v>4495</v>
      </c>
      <c r="M146" s="101">
        <v>4949</v>
      </c>
      <c r="N146" s="307">
        <v>4464</v>
      </c>
      <c r="O146" s="253"/>
      <c r="P146" s="277" t="str">
        <f>IF(Contents!$B$2=2,"Yes","Да")</f>
        <v>Да</v>
      </c>
      <c r="Q146" s="253"/>
      <c r="R146" s="55"/>
      <c r="S146" s="55"/>
      <c r="T146" s="55"/>
      <c r="U146" s="55"/>
      <c r="V146" s="55"/>
      <c r="W146" s="277">
        <v>2</v>
      </c>
      <c r="X146" s="297"/>
      <c r="Y146" s="55"/>
      <c r="Z146" s="606"/>
      <c r="AA146" s="585"/>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c r="IJ146" s="14"/>
      <c r="IK146" s="14"/>
      <c r="IL146" s="14"/>
      <c r="IM146" s="14"/>
      <c r="IN146" s="14"/>
      <c r="IO146" s="14"/>
      <c r="IP146" s="14"/>
      <c r="IQ146" s="14"/>
      <c r="IR146" s="14"/>
    </row>
    <row r="147" spans="1:252" s="1" customFormat="1" ht="25.5">
      <c r="A147" s="116"/>
      <c r="B147" s="311" t="str">
        <f>IF(Contents!$B$2=2,"Waste disposed by the Company","Отходы, направленные на захоронение на территории Компании")</f>
        <v>Отходы, направленные на захоронение на территории Компании</v>
      </c>
      <c r="C147" s="12" t="str">
        <f>IF(Contents!$B$2=2,"tons","т")</f>
        <v>т</v>
      </c>
      <c r="D147" s="312" t="s">
        <v>185</v>
      </c>
      <c r="E147" s="312" t="s">
        <v>185</v>
      </c>
      <c r="F147" s="312" t="s">
        <v>185</v>
      </c>
      <c r="G147" s="312" t="s">
        <v>185</v>
      </c>
      <c r="H147" s="306" t="s">
        <v>185</v>
      </c>
      <c r="I147" s="306">
        <v>2275</v>
      </c>
      <c r="J147" s="306">
        <v>1178.021</v>
      </c>
      <c r="K147" s="306">
        <v>628.02099999999996</v>
      </c>
      <c r="L147" s="306">
        <v>825.02099999999996</v>
      </c>
      <c r="M147" s="306">
        <v>277</v>
      </c>
      <c r="N147" s="827">
        <v>97</v>
      </c>
      <c r="O147" s="253"/>
      <c r="P147" s="277" t="str">
        <f>IF(Contents!$B$2=2,"Yes","Да")</f>
        <v>Да</v>
      </c>
      <c r="Q147" s="253"/>
      <c r="R147" s="313" t="s">
        <v>100</v>
      </c>
      <c r="S147" s="55"/>
      <c r="T147" s="56" t="s">
        <v>97</v>
      </c>
      <c r="U147" s="273" t="str">
        <f>IF(Contents!$B$2=2,"PBCS 6","СОКБ 6")</f>
        <v>СОКБ 6</v>
      </c>
      <c r="V147" s="56"/>
      <c r="W147" s="277">
        <v>2</v>
      </c>
      <c r="X147" s="297"/>
      <c r="Y147" s="56"/>
      <c r="Z147" s="606"/>
      <c r="AA147" s="585"/>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c r="HM147" s="14"/>
      <c r="HN147" s="14"/>
      <c r="HO147" s="14"/>
      <c r="HP147" s="14"/>
      <c r="HQ147" s="14"/>
      <c r="HR147" s="14"/>
      <c r="HS147" s="14"/>
      <c r="HT147" s="14"/>
      <c r="HU147" s="14"/>
      <c r="HV147" s="14"/>
      <c r="HW147" s="14"/>
      <c r="HX147" s="14"/>
      <c r="HY147" s="14"/>
      <c r="HZ147" s="14"/>
      <c r="IA147" s="14"/>
      <c r="IB147" s="14"/>
      <c r="IC147" s="14"/>
      <c r="ID147" s="14"/>
      <c r="IE147" s="14"/>
      <c r="IF147" s="14"/>
      <c r="IG147" s="14"/>
      <c r="IH147" s="14"/>
      <c r="II147" s="14"/>
      <c r="IJ147" s="14"/>
      <c r="IK147" s="14"/>
      <c r="IL147" s="14"/>
      <c r="IM147" s="14"/>
      <c r="IN147" s="14"/>
      <c r="IO147" s="14"/>
      <c r="IP147" s="14"/>
      <c r="IQ147" s="14"/>
      <c r="IR147" s="14"/>
    </row>
    <row r="148" spans="1:252" s="1" customFormat="1">
      <c r="A148" s="116"/>
      <c r="B148" s="285" t="str">
        <f>IF(Contents!$B$2=2,"Hazardous waste","Опасные отходы")</f>
        <v>Опасные отходы</v>
      </c>
      <c r="C148" s="12" t="str">
        <f>IF(Contents!$B$2=2,"tons","т")</f>
        <v>т</v>
      </c>
      <c r="D148" s="312" t="s">
        <v>185</v>
      </c>
      <c r="E148" s="312" t="s">
        <v>185</v>
      </c>
      <c r="F148" s="312" t="s">
        <v>185</v>
      </c>
      <c r="G148" s="312" t="s">
        <v>185</v>
      </c>
      <c r="H148" s="306" t="s">
        <v>185</v>
      </c>
      <c r="I148" s="306">
        <v>0</v>
      </c>
      <c r="J148" s="101">
        <v>2.0999999999999998E-2</v>
      </c>
      <c r="K148" s="101">
        <v>2.1000000000000001E-2</v>
      </c>
      <c r="L148" s="101">
        <v>2.1000000000000001E-2</v>
      </c>
      <c r="M148" s="101">
        <v>0</v>
      </c>
      <c r="N148" s="307">
        <v>0</v>
      </c>
      <c r="O148" s="253"/>
      <c r="P148" s="277" t="str">
        <f>IF(Contents!$B$2=2,"Yes","Да")</f>
        <v>Да</v>
      </c>
      <c r="Q148" s="253"/>
      <c r="R148" s="55"/>
      <c r="S148" s="55"/>
      <c r="T148" s="55"/>
      <c r="U148" s="55"/>
      <c r="V148" s="55"/>
      <c r="W148" s="277">
        <v>2</v>
      </c>
      <c r="X148" s="297"/>
      <c r="Y148" s="55"/>
      <c r="Z148" s="606"/>
      <c r="AA148" s="585"/>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c r="HM148" s="14"/>
      <c r="HN148" s="14"/>
      <c r="HO148" s="14"/>
      <c r="HP148" s="14"/>
      <c r="HQ148" s="14"/>
      <c r="HR148" s="14"/>
      <c r="HS148" s="14"/>
      <c r="HT148" s="14"/>
      <c r="HU148" s="14"/>
      <c r="HV148" s="14"/>
      <c r="HW148" s="14"/>
      <c r="HX148" s="14"/>
      <c r="HY148" s="14"/>
      <c r="HZ148" s="14"/>
      <c r="IA148" s="14"/>
      <c r="IB148" s="14"/>
      <c r="IC148" s="14"/>
      <c r="ID148" s="14"/>
      <c r="IE148" s="14"/>
      <c r="IF148" s="14"/>
      <c r="IG148" s="14"/>
      <c r="IH148" s="14"/>
      <c r="II148" s="14"/>
      <c r="IJ148" s="14"/>
      <c r="IK148" s="14"/>
      <c r="IL148" s="14"/>
      <c r="IM148" s="14"/>
      <c r="IN148" s="14"/>
      <c r="IO148" s="14"/>
      <c r="IP148" s="14"/>
      <c r="IQ148" s="14"/>
      <c r="IR148" s="14"/>
    </row>
    <row r="149" spans="1:252" s="1" customFormat="1">
      <c r="A149" s="116"/>
      <c r="B149" s="285" t="str">
        <f>IF(Contents!$B$2=2,"Non-hazardous waste","Неопасные отходы")</f>
        <v>Неопасные отходы</v>
      </c>
      <c r="C149" s="12" t="str">
        <f>IF(Contents!$B$2=2,"tons","т")</f>
        <v>т</v>
      </c>
      <c r="D149" s="312" t="s">
        <v>185</v>
      </c>
      <c r="E149" s="312" t="s">
        <v>185</v>
      </c>
      <c r="F149" s="312" t="s">
        <v>185</v>
      </c>
      <c r="G149" s="312" t="s">
        <v>185</v>
      </c>
      <c r="H149" s="306" t="s">
        <v>185</v>
      </c>
      <c r="I149" s="306">
        <v>2275</v>
      </c>
      <c r="J149" s="101">
        <v>1178</v>
      </c>
      <c r="K149" s="101">
        <v>628</v>
      </c>
      <c r="L149" s="101">
        <v>825</v>
      </c>
      <c r="M149" s="101">
        <v>277</v>
      </c>
      <c r="N149" s="307">
        <v>97</v>
      </c>
      <c r="O149" s="253"/>
      <c r="P149" s="277" t="str">
        <f>IF(Contents!$B$2=2,"Yes","Да")</f>
        <v>Да</v>
      </c>
      <c r="Q149" s="253"/>
      <c r="R149" s="55"/>
      <c r="S149" s="55"/>
      <c r="T149" s="55"/>
      <c r="U149" s="55"/>
      <c r="V149" s="55"/>
      <c r="W149" s="277">
        <v>2</v>
      </c>
      <c r="X149" s="297"/>
      <c r="Y149" s="55"/>
      <c r="Z149" s="606"/>
      <c r="AA149" s="585"/>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c r="HM149" s="14"/>
      <c r="HN149" s="14"/>
      <c r="HO149" s="14"/>
      <c r="HP149" s="14"/>
      <c r="HQ149" s="14"/>
      <c r="HR149" s="14"/>
      <c r="HS149" s="14"/>
      <c r="HT149" s="14"/>
      <c r="HU149" s="14"/>
      <c r="HV149" s="14"/>
      <c r="HW149" s="14"/>
      <c r="HX149" s="14"/>
      <c r="HY149" s="14"/>
      <c r="HZ149" s="14"/>
      <c r="IA149" s="14"/>
      <c r="IB149" s="14"/>
      <c r="IC149" s="14"/>
      <c r="ID149" s="14"/>
      <c r="IE149" s="14"/>
      <c r="IF149" s="14"/>
      <c r="IG149" s="14"/>
      <c r="IH149" s="14"/>
      <c r="II149" s="14"/>
      <c r="IJ149" s="14"/>
      <c r="IK149" s="14"/>
      <c r="IL149" s="14"/>
      <c r="IM149" s="14"/>
      <c r="IN149" s="14"/>
      <c r="IO149" s="14"/>
      <c r="IP149" s="14"/>
      <c r="IQ149" s="14"/>
      <c r="IR149" s="14"/>
    </row>
    <row r="150" spans="1:252" ht="25.5">
      <c r="A150" s="116"/>
      <c r="B150" s="311" t="str">
        <f>IF(Contents!$B$2=2,"Waste disposed by third parties","Отходы, направленные на захоронение в сторонние организации")</f>
        <v>Отходы, направленные на захоронение в сторонние организации</v>
      </c>
      <c r="C150" s="12" t="str">
        <f>IF(Contents!$B$2=2,"tons","т")</f>
        <v>т</v>
      </c>
      <c r="D150" s="312" t="s">
        <v>185</v>
      </c>
      <c r="E150" s="312" t="s">
        <v>185</v>
      </c>
      <c r="F150" s="312" t="s">
        <v>185</v>
      </c>
      <c r="G150" s="312" t="s">
        <v>185</v>
      </c>
      <c r="H150" s="306" t="s">
        <v>185</v>
      </c>
      <c r="I150" s="306">
        <v>1426</v>
      </c>
      <c r="J150" s="306">
        <v>750</v>
      </c>
      <c r="K150" s="306">
        <v>488</v>
      </c>
      <c r="L150" s="306">
        <v>858</v>
      </c>
      <c r="M150" s="306">
        <v>1755</v>
      </c>
      <c r="N150" s="827">
        <v>1200</v>
      </c>
      <c r="P150" s="277" t="str">
        <f>IF(Contents!$B$2=2,"Yes","Да")</f>
        <v>Да</v>
      </c>
      <c r="R150" s="313" t="s">
        <v>100</v>
      </c>
      <c r="S150" s="55"/>
      <c r="T150" s="56" t="s">
        <v>97</v>
      </c>
      <c r="U150" s="273" t="str">
        <f>IF(Contents!$B$2=2,"PBCS 6","СОКБ 6")</f>
        <v>СОКБ 6</v>
      </c>
      <c r="V150" s="56"/>
      <c r="W150" s="277">
        <v>2</v>
      </c>
      <c r="X150" s="297"/>
      <c r="Y150" s="56"/>
      <c r="AA150" s="585"/>
    </row>
    <row r="151" spans="1:252">
      <c r="A151" s="116"/>
      <c r="B151" s="285" t="str">
        <f>IF(Contents!$B$2=2,"Hazardous waste","Опасные отходы")</f>
        <v>Опасные отходы</v>
      </c>
      <c r="C151" s="12" t="str">
        <f>IF(Contents!$B$2=2,"tons","т")</f>
        <v>т</v>
      </c>
      <c r="D151" s="312" t="s">
        <v>185</v>
      </c>
      <c r="E151" s="312" t="s">
        <v>185</v>
      </c>
      <c r="F151" s="312" t="s">
        <v>185</v>
      </c>
      <c r="G151" s="312" t="s">
        <v>185</v>
      </c>
      <c r="H151" s="306" t="s">
        <v>185</v>
      </c>
      <c r="I151" s="306">
        <v>0</v>
      </c>
      <c r="J151" s="101">
        <v>0</v>
      </c>
      <c r="K151" s="101">
        <v>0</v>
      </c>
      <c r="L151" s="101">
        <v>0</v>
      </c>
      <c r="M151" s="101">
        <v>0</v>
      </c>
      <c r="N151" s="307">
        <v>0</v>
      </c>
      <c r="P151" s="277" t="str">
        <f>IF(Contents!$B$2=2,"Yes","Да")</f>
        <v>Да</v>
      </c>
      <c r="R151" s="55"/>
      <c r="S151" s="55"/>
      <c r="T151" s="55"/>
      <c r="U151" s="55"/>
      <c r="V151" s="55"/>
      <c r="W151" s="277">
        <v>2</v>
      </c>
      <c r="X151" s="297"/>
      <c r="Y151" s="55"/>
      <c r="AA151" s="585"/>
    </row>
    <row r="152" spans="1:252" s="1" customFormat="1">
      <c r="A152" s="116"/>
      <c r="B152" s="285" t="str">
        <f>IF(Contents!$B$2=2,"Non-hazardous waste","Неопасные отходы")</f>
        <v>Неопасные отходы</v>
      </c>
      <c r="C152" s="12" t="str">
        <f>IF(Contents!$B$2=2,"tons","т")</f>
        <v>т</v>
      </c>
      <c r="D152" s="312" t="s">
        <v>185</v>
      </c>
      <c r="E152" s="312" t="s">
        <v>185</v>
      </c>
      <c r="F152" s="312" t="s">
        <v>185</v>
      </c>
      <c r="G152" s="312" t="s">
        <v>185</v>
      </c>
      <c r="H152" s="306" t="s">
        <v>185</v>
      </c>
      <c r="I152" s="306">
        <v>1426</v>
      </c>
      <c r="J152" s="101">
        <v>750</v>
      </c>
      <c r="K152" s="101">
        <v>488</v>
      </c>
      <c r="L152" s="101">
        <v>858</v>
      </c>
      <c r="M152" s="101">
        <v>1755</v>
      </c>
      <c r="N152" s="307">
        <v>1200</v>
      </c>
      <c r="O152" s="253"/>
      <c r="P152" s="277" t="str">
        <f>IF(Contents!$B$2=2,"Yes","Да")</f>
        <v>Да</v>
      </c>
      <c r="Q152" s="253"/>
      <c r="R152" s="55"/>
      <c r="S152" s="55"/>
      <c r="T152" s="55"/>
      <c r="U152" s="55"/>
      <c r="V152" s="55"/>
      <c r="W152" s="277">
        <v>2</v>
      </c>
      <c r="X152" s="297"/>
      <c r="Y152" s="55"/>
      <c r="Z152" s="606"/>
      <c r="AA152" s="585"/>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c r="HM152" s="14"/>
      <c r="HN152" s="14"/>
      <c r="HO152" s="14"/>
      <c r="HP152" s="14"/>
      <c r="HQ152" s="14"/>
      <c r="HR152" s="14"/>
      <c r="HS152" s="14"/>
      <c r="HT152" s="14"/>
      <c r="HU152" s="14"/>
      <c r="HV152" s="14"/>
      <c r="HW152" s="14"/>
      <c r="HX152" s="14"/>
      <c r="HY152" s="14"/>
      <c r="HZ152" s="14"/>
      <c r="IA152" s="14"/>
      <c r="IB152" s="14"/>
      <c r="IC152" s="14"/>
      <c r="ID152" s="14"/>
      <c r="IE152" s="14"/>
      <c r="IF152" s="14"/>
      <c r="IG152" s="14"/>
      <c r="IH152" s="14"/>
      <c r="II152" s="14"/>
      <c r="IJ152" s="14"/>
      <c r="IK152" s="14"/>
      <c r="IL152" s="14"/>
      <c r="IM152" s="14"/>
      <c r="IN152" s="14"/>
      <c r="IO152" s="14"/>
      <c r="IP152" s="14"/>
      <c r="IQ152" s="14"/>
      <c r="IR152" s="14"/>
    </row>
    <row r="153" spans="1:252" s="1" customFormat="1" ht="25.5">
      <c r="A153" s="116"/>
      <c r="B153" s="311" t="str">
        <f>IF(Contents!$B$2=2,"Waste transferred to the regional MSW operator","Отходы, переданные региональному оператору ТКО")</f>
        <v>Отходы, переданные региональному оператору ТКО</v>
      </c>
      <c r="C153" s="12" t="str">
        <f>IF(Contents!$B$2=2,"tons","т")</f>
        <v>т</v>
      </c>
      <c r="D153" s="312" t="s">
        <v>185</v>
      </c>
      <c r="E153" s="312" t="s">
        <v>185</v>
      </c>
      <c r="F153" s="312" t="s">
        <v>185</v>
      </c>
      <c r="G153" s="312" t="s">
        <v>185</v>
      </c>
      <c r="H153" s="306" t="s">
        <v>185</v>
      </c>
      <c r="I153" s="306">
        <v>920</v>
      </c>
      <c r="J153" s="306">
        <v>1246</v>
      </c>
      <c r="K153" s="306">
        <v>1293</v>
      </c>
      <c r="L153" s="306">
        <v>1966</v>
      </c>
      <c r="M153" s="306">
        <v>2520</v>
      </c>
      <c r="N153" s="827">
        <v>2832</v>
      </c>
      <c r="O153" s="253"/>
      <c r="P153" s="277" t="str">
        <f>IF(Contents!$B$2=2,"Yes","Да")</f>
        <v>Да</v>
      </c>
      <c r="Q153" s="253"/>
      <c r="R153" s="313" t="s">
        <v>100</v>
      </c>
      <c r="S153" s="55"/>
      <c r="T153" s="56" t="s">
        <v>97</v>
      </c>
      <c r="U153" s="273" t="str">
        <f>IF(Contents!$B$2=2,"PBCS 6","СОКБ 6")</f>
        <v>СОКБ 6</v>
      </c>
      <c r="V153" s="56"/>
      <c r="W153" s="277">
        <v>2</v>
      </c>
      <c r="X153" s="297"/>
      <c r="Y153" s="56"/>
      <c r="Z153" s="606"/>
      <c r="AA153" s="585"/>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c r="HM153" s="14"/>
      <c r="HN153" s="14"/>
      <c r="HO153" s="14"/>
      <c r="HP153" s="14"/>
      <c r="HQ153" s="14"/>
      <c r="HR153" s="14"/>
      <c r="HS153" s="14"/>
      <c r="HT153" s="14"/>
      <c r="HU153" s="14"/>
      <c r="HV153" s="14"/>
      <c r="HW153" s="14"/>
      <c r="HX153" s="14"/>
      <c r="HY153" s="14"/>
      <c r="HZ153" s="14"/>
      <c r="IA153" s="14"/>
      <c r="IB153" s="14"/>
      <c r="IC153" s="14"/>
      <c r="ID153" s="14"/>
      <c r="IE153" s="14"/>
      <c r="IF153" s="14"/>
      <c r="IG153" s="14"/>
      <c r="IH153" s="14"/>
      <c r="II153" s="14"/>
      <c r="IJ153" s="14"/>
      <c r="IK153" s="14"/>
      <c r="IL153" s="14"/>
      <c r="IM153" s="14"/>
      <c r="IN153" s="14"/>
      <c r="IO153" s="14"/>
      <c r="IP153" s="14"/>
      <c r="IQ153" s="14"/>
      <c r="IR153" s="14"/>
    </row>
    <row r="154" spans="1:252" s="1" customFormat="1">
      <c r="A154" s="116"/>
      <c r="B154" s="285" t="str">
        <f>IF(Contents!$B$2=2,"Hazardous waste","Опасные отходы")</f>
        <v>Опасные отходы</v>
      </c>
      <c r="C154" s="12" t="str">
        <f>IF(Contents!$B$2=2,"tons","т")</f>
        <v>т</v>
      </c>
      <c r="D154" s="312" t="s">
        <v>185</v>
      </c>
      <c r="E154" s="312" t="s">
        <v>185</v>
      </c>
      <c r="F154" s="312" t="s">
        <v>185</v>
      </c>
      <c r="G154" s="312" t="s">
        <v>185</v>
      </c>
      <c r="H154" s="306" t="s">
        <v>185</v>
      </c>
      <c r="I154" s="306">
        <v>0</v>
      </c>
      <c r="J154" s="101">
        <v>0</v>
      </c>
      <c r="K154" s="101">
        <v>0</v>
      </c>
      <c r="L154" s="101">
        <v>0</v>
      </c>
      <c r="M154" s="101">
        <v>0</v>
      </c>
      <c r="N154" s="307">
        <v>0</v>
      </c>
      <c r="O154" s="253"/>
      <c r="P154" s="277" t="str">
        <f>IF(Contents!$B$2=2,"Yes","Да")</f>
        <v>Да</v>
      </c>
      <c r="Q154" s="253"/>
      <c r="R154" s="55"/>
      <c r="S154" s="55"/>
      <c r="T154" s="55"/>
      <c r="U154" s="55"/>
      <c r="V154" s="55"/>
      <c r="W154" s="277">
        <v>2</v>
      </c>
      <c r="X154" s="297"/>
      <c r="Y154" s="55"/>
      <c r="Z154" s="606"/>
      <c r="AA154" s="585"/>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c r="HM154" s="14"/>
      <c r="HN154" s="14"/>
      <c r="HO154" s="14"/>
      <c r="HP154" s="14"/>
      <c r="HQ154" s="14"/>
      <c r="HR154" s="14"/>
      <c r="HS154" s="14"/>
      <c r="HT154" s="14"/>
      <c r="HU154" s="14"/>
      <c r="HV154" s="14"/>
      <c r="HW154" s="14"/>
      <c r="HX154" s="14"/>
      <c r="HY154" s="14"/>
      <c r="HZ154" s="14"/>
      <c r="IA154" s="14"/>
      <c r="IB154" s="14"/>
      <c r="IC154" s="14"/>
      <c r="ID154" s="14"/>
      <c r="IE154" s="14"/>
      <c r="IF154" s="14"/>
      <c r="IG154" s="14"/>
      <c r="IH154" s="14"/>
      <c r="II154" s="14"/>
      <c r="IJ154" s="14"/>
      <c r="IK154" s="14"/>
      <c r="IL154" s="14"/>
      <c r="IM154" s="14"/>
      <c r="IN154" s="14"/>
      <c r="IO154" s="14"/>
      <c r="IP154" s="14"/>
      <c r="IQ154" s="14"/>
      <c r="IR154" s="14"/>
    </row>
    <row r="155" spans="1:252" s="1" customFormat="1">
      <c r="A155" s="116"/>
      <c r="B155" s="285" t="str">
        <f>IF(Contents!$B$2=2,"Non-hazardous waste","Неопасные отходы")</f>
        <v>Неопасные отходы</v>
      </c>
      <c r="C155" s="12" t="str">
        <f>IF(Contents!$B$2=2,"tons","т")</f>
        <v>т</v>
      </c>
      <c r="D155" s="312" t="s">
        <v>185</v>
      </c>
      <c r="E155" s="312" t="s">
        <v>185</v>
      </c>
      <c r="F155" s="312" t="s">
        <v>185</v>
      </c>
      <c r="G155" s="312" t="s">
        <v>185</v>
      </c>
      <c r="H155" s="306" t="s">
        <v>185</v>
      </c>
      <c r="I155" s="306">
        <v>920</v>
      </c>
      <c r="J155" s="101">
        <v>1246</v>
      </c>
      <c r="K155" s="101">
        <v>1293</v>
      </c>
      <c r="L155" s="101">
        <v>1966</v>
      </c>
      <c r="M155" s="101">
        <v>2520</v>
      </c>
      <c r="N155" s="307">
        <v>2832</v>
      </c>
      <c r="O155" s="253"/>
      <c r="P155" s="277" t="str">
        <f>IF(Contents!$B$2=2,"Yes","Да")</f>
        <v>Да</v>
      </c>
      <c r="Q155" s="253"/>
      <c r="R155" s="55"/>
      <c r="S155" s="55"/>
      <c r="T155" s="55"/>
      <c r="U155" s="55"/>
      <c r="V155" s="55"/>
      <c r="W155" s="277">
        <v>2</v>
      </c>
      <c r="X155" s="297"/>
      <c r="Y155" s="55"/>
      <c r="Z155" s="606"/>
      <c r="AA155" s="585"/>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c r="II155" s="14"/>
      <c r="IJ155" s="14"/>
      <c r="IK155" s="14"/>
      <c r="IL155" s="14"/>
      <c r="IM155" s="14"/>
      <c r="IN155" s="14"/>
      <c r="IO155" s="14"/>
      <c r="IP155" s="14"/>
      <c r="IQ155" s="14"/>
      <c r="IR155" s="14"/>
    </row>
    <row r="156" spans="1:252" s="1" customFormat="1">
      <c r="A156" s="116"/>
      <c r="B156" s="311" t="str">
        <f>IF(Contents!$B$2=2,"Waste at the end of the year","Наличие отходов на конец года")</f>
        <v>Наличие отходов на конец года</v>
      </c>
      <c r="C156" s="12" t="str">
        <f>IF(Contents!$B$2=2,"tons","т")</f>
        <v>т</v>
      </c>
      <c r="D156" s="312" t="s">
        <v>185</v>
      </c>
      <c r="E156" s="312" t="s">
        <v>185</v>
      </c>
      <c r="F156" s="312" t="s">
        <v>185</v>
      </c>
      <c r="G156" s="312" t="s">
        <v>185</v>
      </c>
      <c r="H156" s="306" t="s">
        <v>185</v>
      </c>
      <c r="I156" s="306">
        <v>13200</v>
      </c>
      <c r="J156" s="306">
        <v>7902</v>
      </c>
      <c r="K156" s="306">
        <v>2870</v>
      </c>
      <c r="L156" s="306">
        <v>4350</v>
      </c>
      <c r="M156" s="306">
        <v>1664</v>
      </c>
      <c r="N156" s="827">
        <v>4736</v>
      </c>
      <c r="O156" s="253"/>
      <c r="P156" s="277" t="str">
        <f>IF(Contents!$B$2=2,"Yes","Да")</f>
        <v>Да</v>
      </c>
      <c r="Q156" s="253"/>
      <c r="R156" s="55"/>
      <c r="S156" s="55"/>
      <c r="T156" s="55"/>
      <c r="U156" s="55"/>
      <c r="V156" s="55"/>
      <c r="W156" s="277">
        <v>2</v>
      </c>
      <c r="X156" s="297"/>
      <c r="Y156" s="55"/>
      <c r="Z156" s="606"/>
      <c r="AA156" s="585"/>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c r="HM156" s="14"/>
      <c r="HN156" s="14"/>
      <c r="HO156" s="14"/>
      <c r="HP156" s="14"/>
      <c r="HQ156" s="14"/>
      <c r="HR156" s="14"/>
      <c r="HS156" s="14"/>
      <c r="HT156" s="14"/>
      <c r="HU156" s="14"/>
      <c r="HV156" s="14"/>
      <c r="HW156" s="14"/>
      <c r="HX156" s="14"/>
      <c r="HY156" s="14"/>
      <c r="HZ156" s="14"/>
      <c r="IA156" s="14"/>
      <c r="IB156" s="14"/>
      <c r="IC156" s="14"/>
      <c r="ID156" s="14"/>
      <c r="IE156" s="14"/>
      <c r="IF156" s="14"/>
      <c r="IG156" s="14"/>
      <c r="IH156" s="14"/>
      <c r="II156" s="14"/>
      <c r="IJ156" s="14"/>
      <c r="IK156" s="14"/>
      <c r="IL156" s="14"/>
      <c r="IM156" s="14"/>
      <c r="IN156" s="14"/>
      <c r="IO156" s="14"/>
      <c r="IP156" s="14"/>
      <c r="IQ156" s="14"/>
      <c r="IR156" s="14"/>
    </row>
    <row r="157" spans="1:252" s="1" customFormat="1">
      <c r="A157" s="116"/>
      <c r="B157" s="285" t="str">
        <f>IF(Contents!$B$2=2,"Hazardous waste","Опасные отходы")</f>
        <v>Опасные отходы</v>
      </c>
      <c r="C157" s="12" t="str">
        <f>IF(Contents!$B$2=2,"tons","т")</f>
        <v>т</v>
      </c>
      <c r="D157" s="312" t="s">
        <v>185</v>
      </c>
      <c r="E157" s="312" t="s">
        <v>185</v>
      </c>
      <c r="F157" s="312" t="s">
        <v>185</v>
      </c>
      <c r="G157" s="312" t="s">
        <v>185</v>
      </c>
      <c r="H157" s="306" t="s">
        <v>185</v>
      </c>
      <c r="I157" s="306">
        <v>0</v>
      </c>
      <c r="J157" s="101">
        <v>2</v>
      </c>
      <c r="K157" s="101">
        <v>20</v>
      </c>
      <c r="L157" s="101">
        <v>29</v>
      </c>
      <c r="M157" s="101">
        <v>83</v>
      </c>
      <c r="N157" s="307">
        <v>101</v>
      </c>
      <c r="O157" s="253"/>
      <c r="P157" s="277" t="str">
        <f>IF(Contents!$B$2=2,"Yes","Да")</f>
        <v>Да</v>
      </c>
      <c r="Q157" s="253"/>
      <c r="R157" s="55"/>
      <c r="S157" s="55"/>
      <c r="T157" s="55"/>
      <c r="U157" s="55"/>
      <c r="V157" s="55"/>
      <c r="W157" s="277">
        <v>2</v>
      </c>
      <c r="X157" s="297"/>
      <c r="Y157" s="55"/>
      <c r="Z157" s="606"/>
      <c r="AA157" s="585"/>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14"/>
      <c r="HE157" s="14"/>
      <c r="HF157" s="14"/>
      <c r="HG157" s="14"/>
      <c r="HH157" s="14"/>
      <c r="HI157" s="14"/>
      <c r="HJ157" s="14"/>
      <c r="HK157" s="14"/>
      <c r="HL157" s="14"/>
      <c r="HM157" s="14"/>
      <c r="HN157" s="14"/>
      <c r="HO157" s="14"/>
      <c r="HP157" s="14"/>
      <c r="HQ157" s="14"/>
      <c r="HR157" s="14"/>
      <c r="HS157" s="14"/>
      <c r="HT157" s="14"/>
      <c r="HU157" s="14"/>
      <c r="HV157" s="14"/>
      <c r="HW157" s="14"/>
      <c r="HX157" s="14"/>
      <c r="HY157" s="14"/>
      <c r="HZ157" s="14"/>
      <c r="IA157" s="14"/>
      <c r="IB157" s="14"/>
      <c r="IC157" s="14"/>
      <c r="ID157" s="14"/>
      <c r="IE157" s="14"/>
      <c r="IF157" s="14"/>
      <c r="IG157" s="14"/>
      <c r="IH157" s="14"/>
      <c r="II157" s="14"/>
      <c r="IJ157" s="14"/>
      <c r="IK157" s="14"/>
      <c r="IL157" s="14"/>
      <c r="IM157" s="14"/>
      <c r="IN157" s="14"/>
      <c r="IO157" s="14"/>
      <c r="IP157" s="14"/>
      <c r="IQ157" s="14"/>
      <c r="IR157" s="14"/>
    </row>
    <row r="158" spans="1:252" s="1" customFormat="1">
      <c r="A158" s="116"/>
      <c r="B158" s="285" t="str">
        <f>IF(Contents!$B$2=2,"Non-hazardous waste","Неопасные отходы")</f>
        <v>Неопасные отходы</v>
      </c>
      <c r="C158" s="12" t="str">
        <f>IF(Contents!$B$2=2,"tons","т")</f>
        <v>т</v>
      </c>
      <c r="D158" s="312" t="s">
        <v>185</v>
      </c>
      <c r="E158" s="312" t="s">
        <v>185</v>
      </c>
      <c r="F158" s="312" t="s">
        <v>185</v>
      </c>
      <c r="G158" s="312" t="s">
        <v>185</v>
      </c>
      <c r="H158" s="306" t="s">
        <v>185</v>
      </c>
      <c r="I158" s="306">
        <v>13200</v>
      </c>
      <c r="J158" s="101">
        <v>7900</v>
      </c>
      <c r="K158" s="101">
        <v>2850</v>
      </c>
      <c r="L158" s="101">
        <v>4321</v>
      </c>
      <c r="M158" s="101">
        <v>1581</v>
      </c>
      <c r="N158" s="307">
        <v>4635</v>
      </c>
      <c r="O158" s="253"/>
      <c r="P158" s="277" t="str">
        <f>IF(Contents!$B$2=2,"Yes","Да")</f>
        <v>Да</v>
      </c>
      <c r="Q158" s="253"/>
      <c r="R158" s="55"/>
      <c r="S158" s="55"/>
      <c r="T158" s="55"/>
      <c r="U158" s="55"/>
      <c r="V158" s="55"/>
      <c r="W158" s="277">
        <v>2</v>
      </c>
      <c r="X158" s="297"/>
      <c r="Y158" s="55"/>
      <c r="Z158" s="606"/>
      <c r="AA158" s="585"/>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c r="HM158" s="14"/>
      <c r="HN158" s="14"/>
      <c r="HO158" s="14"/>
      <c r="HP158" s="14"/>
      <c r="HQ158" s="14"/>
      <c r="HR158" s="14"/>
      <c r="HS158" s="14"/>
      <c r="HT158" s="14"/>
      <c r="HU158" s="14"/>
      <c r="HV158" s="14"/>
      <c r="HW158" s="14"/>
      <c r="HX158" s="14"/>
      <c r="HY158" s="14"/>
      <c r="HZ158" s="14"/>
      <c r="IA158" s="14"/>
      <c r="IB158" s="14"/>
      <c r="IC158" s="14"/>
      <c r="ID158" s="14"/>
      <c r="IE158" s="14"/>
      <c r="IF158" s="14"/>
      <c r="IG158" s="14"/>
      <c r="IH158" s="14"/>
      <c r="II158" s="14"/>
      <c r="IJ158" s="14"/>
      <c r="IK158" s="14"/>
      <c r="IL158" s="14"/>
      <c r="IM158" s="14"/>
      <c r="IN158" s="14"/>
      <c r="IO158" s="14"/>
      <c r="IP158" s="14"/>
      <c r="IQ158" s="14"/>
      <c r="IR158" s="14"/>
    </row>
    <row r="159" spans="1:252" s="1" customFormat="1" ht="21.6" customHeight="1">
      <c r="A159" s="116"/>
      <c r="B159" s="52" t="str">
        <f>IF(Contents!$B$2=2,"Percentage of waste used for disposal and treatment","Доля отходов, направленных на утилизацию и обезвреживание")</f>
        <v>Доля отходов, направленных на утилизацию и обезвреживание</v>
      </c>
      <c r="C159" s="165" t="s">
        <v>0</v>
      </c>
      <c r="D159" s="10" t="s">
        <v>185</v>
      </c>
      <c r="E159" s="10" t="s">
        <v>185</v>
      </c>
      <c r="F159" s="10" t="s">
        <v>185</v>
      </c>
      <c r="G159" s="10" t="s">
        <v>185</v>
      </c>
      <c r="H159" s="314">
        <v>75</v>
      </c>
      <c r="I159" s="314">
        <v>69</v>
      </c>
      <c r="J159" s="314">
        <v>83</v>
      </c>
      <c r="K159" s="314">
        <v>95</v>
      </c>
      <c r="L159" s="314">
        <v>89</v>
      </c>
      <c r="M159" s="314">
        <v>95</v>
      </c>
      <c r="N159" s="307">
        <v>92</v>
      </c>
      <c r="O159" s="869"/>
      <c r="P159" s="277" t="str">
        <f>IF(Contents!$B$2=2,"Yes","Да")</f>
        <v>Да</v>
      </c>
      <c r="Q159" s="253"/>
      <c r="R159" s="297" t="s">
        <v>99</v>
      </c>
      <c r="S159" s="297"/>
      <c r="T159" s="297"/>
      <c r="U159" s="299"/>
      <c r="V159" s="297"/>
      <c r="W159" s="277">
        <v>2</v>
      </c>
      <c r="X159" s="297"/>
      <c r="Y159" s="297"/>
      <c r="Z159" s="617"/>
      <c r="AA159" s="585"/>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c r="HM159" s="14"/>
      <c r="HN159" s="14"/>
      <c r="HO159" s="14"/>
      <c r="HP159" s="14"/>
      <c r="HQ159" s="14"/>
      <c r="HR159" s="14"/>
      <c r="HS159" s="14"/>
      <c r="HT159" s="14"/>
      <c r="HU159" s="14"/>
      <c r="HV159" s="14"/>
      <c r="HW159" s="14"/>
      <c r="HX159" s="14"/>
      <c r="HY159" s="14"/>
      <c r="HZ159" s="14"/>
      <c r="IA159" s="14"/>
      <c r="IB159" s="14"/>
      <c r="IC159" s="14"/>
      <c r="ID159" s="14"/>
      <c r="IE159" s="14"/>
      <c r="IF159" s="14"/>
      <c r="IG159" s="14"/>
      <c r="IH159" s="14"/>
      <c r="II159" s="14"/>
      <c r="IJ159" s="14"/>
      <c r="IK159" s="14"/>
      <c r="IL159" s="14"/>
      <c r="IM159" s="14"/>
      <c r="IN159" s="14"/>
      <c r="IO159" s="14"/>
      <c r="IP159" s="14"/>
      <c r="IQ159" s="14"/>
      <c r="IR159" s="14"/>
    </row>
    <row r="160" spans="1:252" s="1" customFormat="1">
      <c r="A160" s="116"/>
      <c r="B160" s="52"/>
      <c r="C160" s="165"/>
      <c r="D160" s="10"/>
      <c r="E160" s="10"/>
      <c r="F160" s="10"/>
      <c r="G160" s="10"/>
      <c r="H160" s="314"/>
      <c r="I160" s="314"/>
      <c r="J160" s="314"/>
      <c r="K160" s="314"/>
      <c r="L160" s="314"/>
      <c r="M160" s="314"/>
      <c r="N160" s="314"/>
      <c r="O160" s="253"/>
      <c r="P160" s="277"/>
      <c r="Q160" s="253"/>
      <c r="R160" s="297"/>
      <c r="S160" s="297"/>
      <c r="T160" s="297"/>
      <c r="U160" s="299"/>
      <c r="V160" s="297"/>
      <c r="W160" s="277"/>
      <c r="X160" s="297"/>
      <c r="Y160" s="297"/>
      <c r="Z160" s="617"/>
      <c r="AA160" s="585"/>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c r="HM160" s="14"/>
      <c r="HN160" s="14"/>
      <c r="HO160" s="14"/>
      <c r="HP160" s="14"/>
      <c r="HQ160" s="14"/>
      <c r="HR160" s="14"/>
      <c r="HS160" s="14"/>
      <c r="HT160" s="14"/>
      <c r="HU160" s="14"/>
      <c r="HV160" s="14"/>
      <c r="HW160" s="14"/>
      <c r="HX160" s="14"/>
      <c r="HY160" s="14"/>
      <c r="HZ160" s="14"/>
      <c r="IA160" s="14"/>
      <c r="IB160" s="14"/>
      <c r="IC160" s="14"/>
      <c r="ID160" s="14"/>
      <c r="IE160" s="14"/>
      <c r="IF160" s="14"/>
      <c r="IG160" s="14"/>
      <c r="IH160" s="14"/>
      <c r="II160" s="14"/>
      <c r="IJ160" s="14"/>
      <c r="IK160" s="14"/>
      <c r="IL160" s="14"/>
      <c r="IM160" s="14"/>
      <c r="IN160" s="14"/>
      <c r="IO160" s="14"/>
      <c r="IP160" s="14"/>
      <c r="IQ160" s="14"/>
      <c r="IR160" s="14"/>
    </row>
    <row r="161" spans="1:252" s="1" customFormat="1">
      <c r="A161" s="116"/>
      <c r="B161" s="25" t="str">
        <f>IF(Contents!$B$2=2,"Notes:","Примечания:")</f>
        <v>Примечания:</v>
      </c>
      <c r="C161" s="61"/>
      <c r="D161" s="62"/>
      <c r="E161" s="62"/>
      <c r="F161" s="62"/>
      <c r="G161" s="62"/>
      <c r="H161" s="62"/>
      <c r="I161" s="62"/>
      <c r="J161" s="62"/>
      <c r="K161" s="62"/>
      <c r="L161" s="62"/>
      <c r="M161" s="62"/>
      <c r="N161" s="63"/>
      <c r="O161" s="253"/>
      <c r="P161" s="56"/>
      <c r="Q161" s="253"/>
      <c r="R161" s="56"/>
      <c r="S161" s="56"/>
      <c r="T161" s="56"/>
      <c r="U161" s="60"/>
      <c r="V161" s="56"/>
      <c r="W161" s="56"/>
      <c r="X161" s="56"/>
      <c r="Y161" s="56"/>
      <c r="Z161" s="606"/>
      <c r="AA161" s="585"/>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c r="HM161" s="14"/>
      <c r="HN161" s="14"/>
      <c r="HO161" s="14"/>
      <c r="HP161" s="14"/>
      <c r="HQ161" s="14"/>
      <c r="HR161" s="14"/>
      <c r="HS161" s="14"/>
      <c r="HT161" s="14"/>
      <c r="HU161" s="14"/>
      <c r="HV161" s="14"/>
      <c r="HW161" s="14"/>
      <c r="HX161" s="14"/>
      <c r="HY161" s="14"/>
      <c r="HZ161" s="14"/>
      <c r="IA161" s="14"/>
      <c r="IB161" s="14"/>
      <c r="IC161" s="14"/>
      <c r="ID161" s="14"/>
      <c r="IE161" s="14"/>
      <c r="IF161" s="14"/>
      <c r="IG161" s="14"/>
      <c r="IH161" s="14"/>
      <c r="II161" s="14"/>
      <c r="IJ161" s="14"/>
      <c r="IK161" s="14"/>
      <c r="IL161" s="14"/>
      <c r="IM161" s="14"/>
      <c r="IN161" s="14"/>
      <c r="IO161" s="14"/>
      <c r="IP161" s="14"/>
      <c r="IQ161" s="14"/>
      <c r="IR161" s="14"/>
    </row>
    <row r="162" spans="1:252" s="1" customFormat="1">
      <c r="A162" s="116"/>
      <c r="B162" s="65" t="str">
        <f>IF(Contents!$B$2=2,"Waste utilization mean waste treatment and utilization in accordance with the terms and definitions established by Russian legislation.","Под утилизацией отходов понимается обработка и утилизация отходов согласно терминам и определениям, установленным законодательством РФ.")</f>
        <v>Под утилизацией отходов понимается обработка и утилизация отходов согласно терминам и определениям, установленным законодательством РФ.</v>
      </c>
      <c r="C162" s="65"/>
      <c r="D162" s="65"/>
      <c r="E162" s="65"/>
      <c r="F162" s="65"/>
      <c r="G162" s="65"/>
      <c r="H162" s="65"/>
      <c r="I162" s="65"/>
      <c r="J162" s="65"/>
      <c r="K162" s="65"/>
      <c r="L162" s="65"/>
      <c r="M162" s="65"/>
      <c r="N162" s="65"/>
      <c r="O162" s="253"/>
      <c r="P162" s="56"/>
      <c r="Q162" s="253"/>
      <c r="R162" s="56"/>
      <c r="S162" s="56"/>
      <c r="T162" s="56"/>
      <c r="U162" s="60"/>
      <c r="V162" s="56"/>
      <c r="W162" s="56"/>
      <c r="X162" s="56"/>
      <c r="Y162" s="56"/>
      <c r="Z162" s="606"/>
      <c r="AA162" s="585"/>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c r="HM162" s="14"/>
      <c r="HN162" s="14"/>
      <c r="HO162" s="14"/>
      <c r="HP162" s="14"/>
      <c r="HQ162" s="14"/>
      <c r="HR162" s="14"/>
      <c r="HS162" s="14"/>
      <c r="HT162" s="14"/>
      <c r="HU162" s="14"/>
      <c r="HV162" s="14"/>
      <c r="HW162" s="14"/>
      <c r="HX162" s="14"/>
      <c r="HY162" s="14"/>
      <c r="HZ162" s="14"/>
      <c r="IA162" s="14"/>
      <c r="IB162" s="14"/>
      <c r="IC162" s="14"/>
      <c r="ID162" s="14"/>
      <c r="IE162" s="14"/>
      <c r="IF162" s="14"/>
      <c r="IG162" s="14"/>
      <c r="IH162" s="14"/>
      <c r="II162" s="14"/>
      <c r="IJ162" s="14"/>
      <c r="IK162" s="14"/>
      <c r="IL162" s="14"/>
      <c r="IM162" s="14"/>
      <c r="IN162" s="14"/>
      <c r="IO162" s="14"/>
      <c r="IP162" s="14"/>
      <c r="IQ162" s="14"/>
      <c r="IR162" s="14"/>
    </row>
    <row r="163" spans="1:252" s="1" customFormat="1">
      <c r="A163" s="116"/>
      <c r="B163" s="65" t="str">
        <f>IF(Contents!$B$2=2,"The Percentage of waste used for utilization and neutralization is calculated by dividing the amount of generated waste and waste at the beginning of the year by the amount of recycled and neutralized waste.","Доля отходов, направленных на утилизацию и обезвреживание, рассчитывается путем деления суммы образовавшихся отходов и отходов на начало года на сумму утилизированных и обезвреженных отходов.")</f>
        <v>Доля отходов, направленных на утилизацию и обезвреживание, рассчитывается путем деления суммы образовавшихся отходов и отходов на начало года на сумму утилизированных и обезвреженных отходов.</v>
      </c>
      <c r="C163" s="65"/>
      <c r="D163" s="65"/>
      <c r="E163" s="65"/>
      <c r="F163" s="65"/>
      <c r="G163" s="65"/>
      <c r="H163" s="65"/>
      <c r="I163" s="65"/>
      <c r="J163" s="65"/>
      <c r="K163" s="65"/>
      <c r="L163" s="65"/>
      <c r="M163" s="65"/>
      <c r="N163" s="65"/>
      <c r="O163" s="253"/>
      <c r="P163" s="56"/>
      <c r="Q163" s="253"/>
      <c r="R163" s="56"/>
      <c r="S163" s="56"/>
      <c r="T163" s="56"/>
      <c r="U163" s="60"/>
      <c r="V163" s="56"/>
      <c r="W163" s="56"/>
      <c r="X163" s="56"/>
      <c r="Y163" s="56"/>
      <c r="Z163" s="606"/>
      <c r="AA163" s="585"/>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c r="IJ163" s="14"/>
      <c r="IK163" s="14"/>
      <c r="IL163" s="14"/>
      <c r="IM163" s="14"/>
      <c r="IN163" s="14"/>
      <c r="IO163" s="14"/>
      <c r="IP163" s="14"/>
      <c r="IQ163" s="14"/>
      <c r="IR163" s="14"/>
    </row>
    <row r="164" spans="1:252" s="1" customFormat="1">
      <c r="A164" s="116"/>
      <c r="B164" s="65" t="str">
        <f>IF(Contents!$B$2=2,B263,B264)</f>
        <v>Расчет объемов отходов на конец года производится согласно Приказу Росстата от 09.10.2020 № 627 (ред. от 13.11.2020) и составляет сумму строк «Наличие отходов на начало года» и «Объем образованных отходов» за вычетом строк «Обезвреживание», «Захоронение на полигоне», «Утилизация» и «Отходы, переданные региональному оператору ТКО».</v>
      </c>
      <c r="C164" s="65"/>
      <c r="D164" s="65"/>
      <c r="E164" s="65"/>
      <c r="F164" s="65"/>
      <c r="G164" s="65"/>
      <c r="H164" s="65"/>
      <c r="I164" s="65"/>
      <c r="J164" s="65"/>
      <c r="K164" s="65"/>
      <c r="L164" s="65"/>
      <c r="M164" s="65"/>
      <c r="N164" s="65"/>
      <c r="O164" s="253"/>
      <c r="P164" s="56"/>
      <c r="Q164" s="253"/>
      <c r="R164" s="56"/>
      <c r="S164" s="56"/>
      <c r="T164" s="56"/>
      <c r="U164" s="60"/>
      <c r="V164" s="56"/>
      <c r="W164" s="56"/>
      <c r="X164" s="56"/>
      <c r="Y164" s="56"/>
      <c r="Z164" s="606"/>
      <c r="AA164" s="585"/>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c r="IJ164" s="14"/>
      <c r="IK164" s="14"/>
      <c r="IL164" s="14"/>
      <c r="IM164" s="14"/>
      <c r="IN164" s="14"/>
      <c r="IO164" s="14"/>
      <c r="IP164" s="14"/>
      <c r="IQ164" s="14"/>
      <c r="IR164" s="14"/>
    </row>
    <row r="165" spans="1:252" s="1" customFormat="1">
      <c r="A165" s="116"/>
      <c r="B165" s="301"/>
      <c r="C165" s="301"/>
      <c r="D165" s="301"/>
      <c r="E165" s="301"/>
      <c r="F165" s="301"/>
      <c r="G165" s="301"/>
      <c r="H165" s="301"/>
      <c r="I165" s="301"/>
      <c r="J165" s="301"/>
      <c r="K165" s="301"/>
      <c r="L165" s="301"/>
      <c r="M165" s="301"/>
      <c r="N165" s="301"/>
      <c r="O165" s="253"/>
      <c r="P165" s="56"/>
      <c r="Q165" s="253"/>
      <c r="R165" s="56"/>
      <c r="S165" s="56"/>
      <c r="T165" s="56"/>
      <c r="U165" s="60"/>
      <c r="V165" s="56"/>
      <c r="W165" s="56"/>
      <c r="X165" s="56"/>
      <c r="Y165" s="56"/>
      <c r="Z165" s="606"/>
      <c r="AA165" s="585"/>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c r="HM165" s="14"/>
      <c r="HN165" s="14"/>
      <c r="HO165" s="14"/>
      <c r="HP165" s="14"/>
      <c r="HQ165" s="14"/>
      <c r="HR165" s="14"/>
      <c r="HS165" s="14"/>
      <c r="HT165" s="14"/>
      <c r="HU165" s="14"/>
      <c r="HV165" s="14"/>
      <c r="HW165" s="14"/>
      <c r="HX165" s="14"/>
      <c r="HY165" s="14"/>
      <c r="HZ165" s="14"/>
      <c r="IA165" s="14"/>
      <c r="IB165" s="14"/>
      <c r="IC165" s="14"/>
      <c r="ID165" s="14"/>
      <c r="IE165" s="14"/>
      <c r="IF165" s="14"/>
      <c r="IG165" s="14"/>
      <c r="IH165" s="14"/>
      <c r="II165" s="14"/>
      <c r="IJ165" s="14"/>
      <c r="IK165" s="14"/>
      <c r="IL165" s="14"/>
      <c r="IM165" s="14"/>
      <c r="IN165" s="14"/>
      <c r="IO165" s="14"/>
      <c r="IP165" s="14"/>
      <c r="IQ165" s="14"/>
      <c r="IR165" s="14"/>
    </row>
    <row r="166" spans="1:252" s="1" customFormat="1" ht="20.100000000000001" customHeight="1">
      <c r="A166" s="116"/>
      <c r="B166" s="272" t="str">
        <f>IF(Contents!$B$2=2,"Water use and discharge","Водопользование и водоотведение")</f>
        <v>Водопользование и водоотведение</v>
      </c>
      <c r="C166" s="272"/>
      <c r="D166" s="272"/>
      <c r="E166" s="272"/>
      <c r="F166" s="272"/>
      <c r="G166" s="272"/>
      <c r="H166" s="272"/>
      <c r="I166" s="272"/>
      <c r="J166" s="272"/>
      <c r="K166" s="272"/>
      <c r="L166" s="272"/>
      <c r="M166" s="272"/>
      <c r="N166" s="272"/>
      <c r="O166" s="253"/>
      <c r="P166" s="616"/>
      <c r="Q166" s="253"/>
      <c r="R166" s="616"/>
      <c r="S166" s="616"/>
      <c r="T166" s="616"/>
      <c r="U166" s="616"/>
      <c r="V166" s="616"/>
      <c r="W166" s="616"/>
      <c r="X166" s="616"/>
      <c r="Y166" s="616"/>
      <c r="Z166" s="606"/>
      <c r="AA166" s="585"/>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c r="IJ166" s="14"/>
      <c r="IK166" s="14"/>
      <c r="IL166" s="14"/>
      <c r="IM166" s="14"/>
      <c r="IN166" s="14"/>
      <c r="IO166" s="14"/>
      <c r="IP166" s="14"/>
      <c r="IQ166" s="14"/>
      <c r="IR166" s="14"/>
    </row>
    <row r="167" spans="1:252" s="1" customFormat="1" ht="25.5">
      <c r="A167" s="251"/>
      <c r="B167" s="274" t="str">
        <f>IF(Contents!$B$2=2,"Water withdrawal","Водозабор")</f>
        <v>Водозабор</v>
      </c>
      <c r="C167" s="42" t="str">
        <f>IF(Contents!$B$2=2,"th. cubic meters","тыс. куб. м")</f>
        <v>тыс. куб. м</v>
      </c>
      <c r="D167" s="295" t="s">
        <v>185</v>
      </c>
      <c r="E167" s="295" t="s">
        <v>185</v>
      </c>
      <c r="F167" s="295" t="s">
        <v>185</v>
      </c>
      <c r="G167" s="295" t="s">
        <v>185</v>
      </c>
      <c r="H167" s="295">
        <v>2365</v>
      </c>
      <c r="I167" s="295">
        <v>2040</v>
      </c>
      <c r="J167" s="295">
        <v>2975</v>
      </c>
      <c r="K167" s="295">
        <v>2923</v>
      </c>
      <c r="L167" s="295">
        <v>4327</v>
      </c>
      <c r="M167" s="295">
        <v>4224</v>
      </c>
      <c r="N167" s="295">
        <v>2165</v>
      </c>
      <c r="O167" s="870"/>
      <c r="P167" s="277" t="str">
        <f>IF(Contents!$B$2=2,"Yes","Да")</f>
        <v>Да</v>
      </c>
      <c r="Q167" s="511"/>
      <c r="R167" s="273" t="s">
        <v>101</v>
      </c>
      <c r="S167" s="273"/>
      <c r="T167" s="273"/>
      <c r="U167" s="273" t="str">
        <f>IF(Contents!$B$2=2,"PBCS 1","СОКБ 1")</f>
        <v>СОКБ 1</v>
      </c>
      <c r="V167" s="273"/>
      <c r="W167" s="277">
        <v>2</v>
      </c>
      <c r="X167" s="277"/>
      <c r="Y167" s="273"/>
      <c r="Z167" s="606"/>
      <c r="AA167" s="585"/>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c r="IJ167" s="14"/>
      <c r="IK167" s="14"/>
      <c r="IL167" s="14"/>
      <c r="IM167" s="14"/>
      <c r="IN167" s="14"/>
      <c r="IO167" s="14"/>
      <c r="IP167" s="14"/>
      <c r="IQ167" s="14"/>
      <c r="IR167" s="14"/>
    </row>
    <row r="168" spans="1:252" s="1" customFormat="1">
      <c r="A168" s="251"/>
      <c r="B168" s="23" t="str">
        <f>IF(Contents!$B$2=2,"by water type","по видам воды")</f>
        <v>по видам воды</v>
      </c>
      <c r="C168" s="13"/>
      <c r="D168" s="298"/>
      <c r="E168" s="298"/>
      <c r="F168" s="298"/>
      <c r="G168" s="298"/>
      <c r="H168" s="298"/>
      <c r="I168" s="298"/>
      <c r="J168" s="316"/>
      <c r="K168" s="316"/>
      <c r="L168" s="316"/>
      <c r="M168" s="316"/>
      <c r="N168" s="316"/>
      <c r="O168" s="253"/>
      <c r="P168" s="56"/>
      <c r="Q168" s="511"/>
      <c r="R168" s="273"/>
      <c r="S168" s="273"/>
      <c r="T168" s="273"/>
      <c r="U168" s="620"/>
      <c r="V168" s="273"/>
      <c r="W168" s="56"/>
      <c r="X168" s="56"/>
      <c r="Y168" s="273"/>
      <c r="Z168" s="606"/>
      <c r="AA168" s="585"/>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c r="HM168" s="14"/>
      <c r="HN168" s="14"/>
      <c r="HO168" s="14"/>
      <c r="HP168" s="14"/>
      <c r="HQ168" s="14"/>
      <c r="HR168" s="14"/>
      <c r="HS168" s="14"/>
      <c r="HT168" s="14"/>
      <c r="HU168" s="14"/>
      <c r="HV168" s="14"/>
      <c r="HW168" s="14"/>
      <c r="HX168" s="14"/>
      <c r="HY168" s="14"/>
      <c r="HZ168" s="14"/>
      <c r="IA168" s="14"/>
      <c r="IB168" s="14"/>
      <c r="IC168" s="14"/>
      <c r="ID168" s="14"/>
      <c r="IE168" s="14"/>
      <c r="IF168" s="14"/>
      <c r="IG168" s="14"/>
      <c r="IH168" s="14"/>
      <c r="II168" s="14"/>
      <c r="IJ168" s="14"/>
      <c r="IK168" s="14"/>
      <c r="IL168" s="14"/>
      <c r="IM168" s="14"/>
      <c r="IN168" s="14"/>
      <c r="IO168" s="14"/>
      <c r="IP168" s="14"/>
      <c r="IQ168" s="14"/>
      <c r="IR168" s="14"/>
    </row>
    <row r="169" spans="1:252" s="1" customFormat="1">
      <c r="A169" s="251"/>
      <c r="B169" s="41" t="str">
        <f>IF(Contents!$B$2=2,"Freshwater withdrawal (mineralization not more than 1000 mg/l)","Пресная вода (общая минерализация не более 1000 мг/л)")</f>
        <v>Пресная вода (общая минерализация не более 1000 мг/л)</v>
      </c>
      <c r="C169" s="12" t="str">
        <f>IF(Contents!$B$2=2,"th. cubic meters","тыс. куб. м")</f>
        <v>тыс. куб. м</v>
      </c>
      <c r="D169" s="221" t="s">
        <v>185</v>
      </c>
      <c r="E169" s="221" t="s">
        <v>185</v>
      </c>
      <c r="F169" s="221" t="s">
        <v>185</v>
      </c>
      <c r="G169" s="221" t="s">
        <v>185</v>
      </c>
      <c r="H169" s="205">
        <v>1711</v>
      </c>
      <c r="I169" s="317">
        <v>1952</v>
      </c>
      <c r="J169" s="317">
        <v>2738</v>
      </c>
      <c r="K169" s="317">
        <v>2656</v>
      </c>
      <c r="L169" s="317">
        <v>3079</v>
      </c>
      <c r="M169" s="317">
        <v>2929</v>
      </c>
      <c r="N169" s="318">
        <v>2006</v>
      </c>
      <c r="O169" s="887"/>
      <c r="P169" s="277" t="str">
        <f>IF(Contents!$B$2=2,"Yes","Да")</f>
        <v>Да</v>
      </c>
      <c r="Q169" s="511"/>
      <c r="R169" s="621"/>
      <c r="S169" s="273" t="s">
        <v>102</v>
      </c>
      <c r="T169" s="273" t="s">
        <v>103</v>
      </c>
      <c r="U169" s="613"/>
      <c r="V169" s="273"/>
      <c r="W169" s="277">
        <v>2</v>
      </c>
      <c r="X169" s="308"/>
      <c r="Y169" s="273"/>
      <c r="Z169" s="606"/>
      <c r="AA169" s="585"/>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c r="HM169" s="14"/>
      <c r="HN169" s="14"/>
      <c r="HO169" s="14"/>
      <c r="HP169" s="14"/>
      <c r="HQ169" s="14"/>
      <c r="HR169" s="14"/>
      <c r="HS169" s="14"/>
      <c r="HT169" s="14"/>
      <c r="HU169" s="14"/>
      <c r="HV169" s="14"/>
      <c r="HW169" s="14"/>
      <c r="HX169" s="14"/>
      <c r="HY169" s="14"/>
      <c r="HZ169" s="14"/>
      <c r="IA169" s="14"/>
      <c r="IB169" s="14"/>
      <c r="IC169" s="14"/>
      <c r="ID169" s="14"/>
      <c r="IE169" s="14"/>
      <c r="IF169" s="14"/>
      <c r="IG169" s="14"/>
      <c r="IH169" s="14"/>
      <c r="II169" s="14"/>
      <c r="IJ169" s="14"/>
      <c r="IK169" s="14"/>
      <c r="IL169" s="14"/>
      <c r="IM169" s="14"/>
      <c r="IN169" s="14"/>
      <c r="IO169" s="14"/>
      <c r="IP169" s="14"/>
      <c r="IQ169" s="14"/>
      <c r="IR169" s="14"/>
    </row>
    <row r="170" spans="1:252" s="1" customFormat="1">
      <c r="A170" s="251"/>
      <c r="B170" s="41" t="str">
        <f>IF(Contents!$B$2=2,"Other withdrawal (mineralization more than 1000 mg/l)","Прочая вода (общая минерализация более 1000 мг/л)")</f>
        <v>Прочая вода (общая минерализация более 1000 мг/л)</v>
      </c>
      <c r="C170" s="12" t="str">
        <f>IF(Contents!$B$2=2,"th. cubic meters","тыс. куб. м")</f>
        <v>тыс. куб. м</v>
      </c>
      <c r="D170" s="221" t="s">
        <v>185</v>
      </c>
      <c r="E170" s="221" t="s">
        <v>185</v>
      </c>
      <c r="F170" s="221" t="s">
        <v>185</v>
      </c>
      <c r="G170" s="221" t="s">
        <v>185</v>
      </c>
      <c r="H170" s="205">
        <v>654</v>
      </c>
      <c r="I170" s="317">
        <v>88</v>
      </c>
      <c r="J170" s="317">
        <v>237</v>
      </c>
      <c r="K170" s="317">
        <v>267</v>
      </c>
      <c r="L170" s="317">
        <v>1248</v>
      </c>
      <c r="M170" s="317">
        <v>1295</v>
      </c>
      <c r="N170" s="318">
        <v>159</v>
      </c>
      <c r="O170" s="870"/>
      <c r="P170" s="277"/>
      <c r="Q170" s="511"/>
      <c r="R170" s="621"/>
      <c r="S170" s="273"/>
      <c r="T170" s="273"/>
      <c r="U170" s="613"/>
      <c r="V170" s="273"/>
      <c r="W170" s="277">
        <v>2</v>
      </c>
      <c r="X170" s="273"/>
      <c r="Y170" s="273"/>
      <c r="Z170" s="606"/>
      <c r="AA170" s="585"/>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c r="HM170" s="14"/>
      <c r="HN170" s="14"/>
      <c r="HO170" s="14"/>
      <c r="HP170" s="14"/>
      <c r="HQ170" s="14"/>
      <c r="HR170" s="14"/>
      <c r="HS170" s="14"/>
      <c r="HT170" s="14"/>
      <c r="HU170" s="14"/>
      <c r="HV170" s="14"/>
      <c r="HW170" s="14"/>
      <c r="HX170" s="14"/>
      <c r="HY170" s="14"/>
      <c r="HZ170" s="14"/>
      <c r="IA170" s="14"/>
      <c r="IB170" s="14"/>
      <c r="IC170" s="14"/>
      <c r="ID170" s="14"/>
      <c r="IE170" s="14"/>
      <c r="IF170" s="14"/>
      <c r="IG170" s="14"/>
      <c r="IH170" s="14"/>
      <c r="II170" s="14"/>
      <c r="IJ170" s="14"/>
      <c r="IK170" s="14"/>
      <c r="IL170" s="14"/>
      <c r="IM170" s="14"/>
      <c r="IN170" s="14"/>
      <c r="IO170" s="14"/>
      <c r="IP170" s="14"/>
      <c r="IQ170" s="14"/>
      <c r="IR170" s="14"/>
    </row>
    <row r="171" spans="1:252" s="1" customFormat="1">
      <c r="A171" s="315"/>
      <c r="B171" s="23" t="str">
        <f>IF(Contents!$B$2=2,"by segment","по сегментам")</f>
        <v>по сегментам</v>
      </c>
      <c r="C171" s="13"/>
      <c r="D171" s="298"/>
      <c r="E171" s="298"/>
      <c r="F171" s="298"/>
      <c r="G171" s="298"/>
      <c r="H171" s="298"/>
      <c r="I171" s="298"/>
      <c r="J171" s="661"/>
      <c r="K171" s="661"/>
      <c r="L171" s="661"/>
      <c r="M171" s="661"/>
      <c r="N171" s="661"/>
      <c r="O171" s="253"/>
      <c r="P171" s="273"/>
      <c r="Q171" s="511"/>
      <c r="R171" s="273"/>
      <c r="S171" s="273"/>
      <c r="T171" s="273"/>
      <c r="U171" s="620"/>
      <c r="V171" s="273"/>
      <c r="W171" s="273"/>
      <c r="X171" s="273"/>
      <c r="Y171" s="273"/>
      <c r="Z171" s="606"/>
      <c r="AA171" s="585"/>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c r="HM171" s="14"/>
      <c r="HN171" s="14"/>
      <c r="HO171" s="14"/>
      <c r="HP171" s="14"/>
      <c r="HQ171" s="14"/>
      <c r="HR171" s="14"/>
      <c r="HS171" s="14"/>
      <c r="HT171" s="14"/>
      <c r="HU171" s="14"/>
      <c r="HV171" s="14"/>
      <c r="HW171" s="14"/>
      <c r="HX171" s="14"/>
      <c r="HY171" s="14"/>
      <c r="HZ171" s="14"/>
      <c r="IA171" s="14"/>
      <c r="IB171" s="14"/>
      <c r="IC171" s="14"/>
      <c r="ID171" s="14"/>
      <c r="IE171" s="14"/>
      <c r="IF171" s="14"/>
      <c r="IG171" s="14"/>
      <c r="IH171" s="14"/>
      <c r="II171" s="14"/>
      <c r="IJ171" s="14"/>
      <c r="IK171" s="14"/>
      <c r="IL171" s="14"/>
      <c r="IM171" s="14"/>
      <c r="IN171" s="14"/>
      <c r="IO171" s="14"/>
      <c r="IP171" s="14"/>
      <c r="IQ171" s="14"/>
      <c r="IR171" s="14"/>
    </row>
    <row r="172" spans="1:252" s="1" customFormat="1">
      <c r="A172" s="315"/>
      <c r="B172" s="41" t="str">
        <f>IF(Contents!$B$2=2,"Exploration and production enterprises","Предприятия разведки и добычи")</f>
        <v>Предприятия разведки и добычи</v>
      </c>
      <c r="C172" s="12" t="str">
        <f>IF(Contents!$B$2=2,"th. cubic meters","тыс. куб. м")</f>
        <v>тыс. куб. м</v>
      </c>
      <c r="D172" s="221" t="s">
        <v>185</v>
      </c>
      <c r="E172" s="221" t="s">
        <v>185</v>
      </c>
      <c r="F172" s="221" t="s">
        <v>185</v>
      </c>
      <c r="G172" s="221" t="s">
        <v>185</v>
      </c>
      <c r="H172" s="221" t="s">
        <v>185</v>
      </c>
      <c r="I172" s="221" t="s">
        <v>185</v>
      </c>
      <c r="J172" s="317">
        <v>2259</v>
      </c>
      <c r="K172" s="317">
        <v>1488</v>
      </c>
      <c r="L172" s="317">
        <v>2352</v>
      </c>
      <c r="M172" s="317">
        <v>2345</v>
      </c>
      <c r="N172" s="318">
        <v>1290</v>
      </c>
      <c r="O172" s="253"/>
      <c r="P172" s="277" t="str">
        <f>IF(Contents!$B$2=2,"Yes","Да")</f>
        <v>Да</v>
      </c>
      <c r="Q172" s="511"/>
      <c r="R172" s="622"/>
      <c r="S172" s="273"/>
      <c r="T172" s="273"/>
      <c r="U172" s="613"/>
      <c r="V172" s="273"/>
      <c r="W172" s="277">
        <v>2</v>
      </c>
      <c r="X172" s="308"/>
      <c r="Y172" s="273"/>
      <c r="Z172" s="606"/>
      <c r="AA172" s="585"/>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c r="IL172" s="14"/>
      <c r="IM172" s="14"/>
      <c r="IN172" s="14"/>
      <c r="IO172" s="14"/>
      <c r="IP172" s="14"/>
      <c r="IQ172" s="14"/>
      <c r="IR172" s="14"/>
    </row>
    <row r="173" spans="1:252">
      <c r="A173" s="315"/>
      <c r="B173" s="41" t="str">
        <f>IF(Contents!$B$2=2,"Refineries","Предприятия переработки")</f>
        <v>Предприятия переработки</v>
      </c>
      <c r="C173" s="12" t="str">
        <f>IF(Contents!$B$2=2,"th. cubic meters","тыс. куб. м")</f>
        <v>тыс. куб. м</v>
      </c>
      <c r="D173" s="221" t="s">
        <v>185</v>
      </c>
      <c r="E173" s="221" t="s">
        <v>185</v>
      </c>
      <c r="F173" s="221" t="s">
        <v>185</v>
      </c>
      <c r="G173" s="221" t="s">
        <v>185</v>
      </c>
      <c r="H173" s="221" t="s">
        <v>185</v>
      </c>
      <c r="I173" s="221" t="s">
        <v>185</v>
      </c>
      <c r="J173" s="319">
        <v>191</v>
      </c>
      <c r="K173" s="319">
        <v>177</v>
      </c>
      <c r="L173" s="319">
        <v>491</v>
      </c>
      <c r="M173" s="319">
        <v>482</v>
      </c>
      <c r="N173" s="318">
        <v>284</v>
      </c>
      <c r="P173" s="277" t="str">
        <f>IF(Contents!$B$2=2,"Yes","Да")</f>
        <v>Да</v>
      </c>
      <c r="Q173" s="511"/>
      <c r="R173" s="622"/>
      <c r="S173" s="273"/>
      <c r="T173" s="273"/>
      <c r="U173" s="613"/>
      <c r="V173" s="273"/>
      <c r="W173" s="277">
        <v>2</v>
      </c>
      <c r="X173" s="308"/>
      <c r="Y173" s="273"/>
      <c r="AA173" s="585"/>
    </row>
    <row r="174" spans="1:252">
      <c r="A174" s="315"/>
      <c r="B174" s="41" t="str">
        <f>IF(Contents!$B$2=2,"Power service enterprises","Предприятия энергосервиса")</f>
        <v>Предприятия энергосервиса</v>
      </c>
      <c r="C174" s="12" t="str">
        <f>IF(Contents!$B$2=2,"th. cubic meters","тыс. куб. м")</f>
        <v>тыс. куб. м</v>
      </c>
      <c r="D174" s="221" t="s">
        <v>185</v>
      </c>
      <c r="E174" s="221" t="s">
        <v>185</v>
      </c>
      <c r="F174" s="221" t="s">
        <v>185</v>
      </c>
      <c r="G174" s="221" t="s">
        <v>185</v>
      </c>
      <c r="H174" s="221" t="s">
        <v>185</v>
      </c>
      <c r="I174" s="221" t="s">
        <v>185</v>
      </c>
      <c r="J174" s="317">
        <v>2</v>
      </c>
      <c r="K174" s="317">
        <v>776</v>
      </c>
      <c r="L174" s="317">
        <v>956</v>
      </c>
      <c r="M174" s="317">
        <v>785</v>
      </c>
      <c r="N174" s="318">
        <v>161</v>
      </c>
      <c r="P174" s="277" t="str">
        <f>IF(Contents!$B$2=2,"Yes","Да")</f>
        <v>Да</v>
      </c>
      <c r="Q174" s="511"/>
      <c r="R174" s="622"/>
      <c r="S174" s="273"/>
      <c r="T174" s="273"/>
      <c r="U174" s="613"/>
      <c r="V174" s="273"/>
      <c r="W174" s="277">
        <v>2</v>
      </c>
      <c r="X174" s="308"/>
      <c r="Y174" s="273"/>
      <c r="AA174" s="585"/>
    </row>
    <row r="175" spans="1:252" s="1" customFormat="1">
      <c r="A175" s="315"/>
      <c r="B175" s="41" t="str">
        <f>IF(Contents!$B$2=2,"LNG production enterprises","Предприятия производства СПГ")</f>
        <v>Предприятия производства СПГ</v>
      </c>
      <c r="C175" s="12" t="str">
        <f>IF(Contents!$B$2=2,"th. cubic meters","тыс. куб. м")</f>
        <v>тыс. куб. м</v>
      </c>
      <c r="D175" s="221" t="s">
        <v>185</v>
      </c>
      <c r="E175" s="221" t="s">
        <v>185</v>
      </c>
      <c r="F175" s="221" t="s">
        <v>185</v>
      </c>
      <c r="G175" s="221" t="s">
        <v>185</v>
      </c>
      <c r="H175" s="221" t="s">
        <v>185</v>
      </c>
      <c r="I175" s="221" t="s">
        <v>185</v>
      </c>
      <c r="J175" s="317">
        <v>523</v>
      </c>
      <c r="K175" s="317">
        <v>482</v>
      </c>
      <c r="L175" s="317">
        <v>528</v>
      </c>
      <c r="M175" s="317">
        <v>612</v>
      </c>
      <c r="N175" s="318">
        <v>430</v>
      </c>
      <c r="O175" s="253"/>
      <c r="P175" s="277" t="str">
        <f>IF(Contents!$B$2=2,"Yes","Да")</f>
        <v>Да</v>
      </c>
      <c r="Q175" s="511"/>
      <c r="R175" s="622"/>
      <c r="S175" s="273"/>
      <c r="T175" s="273"/>
      <c r="U175" s="613"/>
      <c r="V175" s="273"/>
      <c r="W175" s="277">
        <v>2</v>
      </c>
      <c r="X175" s="308"/>
      <c r="Y175" s="273"/>
      <c r="Z175" s="606"/>
      <c r="AA175" s="585"/>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c r="IJ175" s="14"/>
      <c r="IK175" s="14"/>
      <c r="IL175" s="14"/>
      <c r="IM175" s="14"/>
      <c r="IN175" s="14"/>
      <c r="IO175" s="14"/>
      <c r="IP175" s="14"/>
      <c r="IQ175" s="14"/>
      <c r="IR175" s="14"/>
    </row>
    <row r="176" spans="1:252" s="1" customFormat="1">
      <c r="A176" s="116"/>
      <c r="B176" s="23" t="str">
        <f>IF(Contents!$B$2=2,"by source type","по типу источника")</f>
        <v>по типу источника</v>
      </c>
      <c r="C176" s="13"/>
      <c r="D176" s="298"/>
      <c r="E176" s="298"/>
      <c r="F176" s="298"/>
      <c r="G176" s="298"/>
      <c r="H176" s="298"/>
      <c r="I176" s="320"/>
      <c r="J176" s="661"/>
      <c r="K176" s="661"/>
      <c r="L176" s="661"/>
      <c r="M176" s="661"/>
      <c r="N176" s="661"/>
      <c r="O176" s="253"/>
      <c r="P176" s="273"/>
      <c r="Q176" s="511"/>
      <c r="R176" s="273"/>
      <c r="S176" s="273"/>
      <c r="T176" s="273"/>
      <c r="U176" s="620"/>
      <c r="V176" s="273"/>
      <c r="W176" s="273"/>
      <c r="X176" s="273"/>
      <c r="Y176" s="273"/>
      <c r="Z176" s="606"/>
      <c r="AA176" s="585"/>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c r="IJ176" s="14"/>
      <c r="IK176" s="14"/>
      <c r="IL176" s="14"/>
      <c r="IM176" s="14"/>
      <c r="IN176" s="14"/>
      <c r="IO176" s="14"/>
      <c r="IP176" s="14"/>
      <c r="IQ176" s="14"/>
      <c r="IR176" s="14"/>
    </row>
    <row r="177" spans="1:252" s="1" customFormat="1">
      <c r="A177" s="251"/>
      <c r="B177" s="11" t="str">
        <f>IF(Contents!$B$2=2,"Surface water ","Поверхностные воды")</f>
        <v>Поверхностные воды</v>
      </c>
      <c r="C177" s="12" t="str">
        <f>IF(Contents!$B$2=2,"th. cubic meters","тыс. куб. м")</f>
        <v>тыс. куб. м</v>
      </c>
      <c r="D177" s="221" t="s">
        <v>185</v>
      </c>
      <c r="E177" s="221" t="s">
        <v>185</v>
      </c>
      <c r="F177" s="221" t="s">
        <v>185</v>
      </c>
      <c r="G177" s="221" t="s">
        <v>185</v>
      </c>
      <c r="H177" s="205">
        <v>1729</v>
      </c>
      <c r="I177" s="205">
        <v>1184</v>
      </c>
      <c r="J177" s="317">
        <v>1606</v>
      </c>
      <c r="K177" s="317">
        <v>2062</v>
      </c>
      <c r="L177" s="317">
        <v>2006</v>
      </c>
      <c r="M177" s="317">
        <v>1778</v>
      </c>
      <c r="N177" s="318">
        <v>1195</v>
      </c>
      <c r="O177" s="887"/>
      <c r="P177" s="277" t="str">
        <f>IF(Contents!$B$2=2,"Yes","Да")</f>
        <v>Да</v>
      </c>
      <c r="Q177" s="511"/>
      <c r="R177" s="273"/>
      <c r="S177" s="273"/>
      <c r="T177" s="273"/>
      <c r="U177" s="613"/>
      <c r="V177" s="273"/>
      <c r="W177" s="277">
        <v>2</v>
      </c>
      <c r="X177" s="308"/>
      <c r="Y177" s="273"/>
      <c r="Z177" s="606"/>
      <c r="AA177" s="585"/>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c r="IJ177" s="14"/>
      <c r="IK177" s="14"/>
      <c r="IL177" s="14"/>
      <c r="IM177" s="14"/>
      <c r="IN177" s="14"/>
      <c r="IO177" s="14"/>
      <c r="IP177" s="14"/>
      <c r="IQ177" s="14"/>
      <c r="IR177" s="14"/>
    </row>
    <row r="178" spans="1:252" s="1" customFormat="1">
      <c r="A178" s="251"/>
      <c r="B178" s="11" t="str">
        <f>IF(Contents!$B$2=2,"Ground water","Подземные воды")</f>
        <v>Подземные воды</v>
      </c>
      <c r="C178" s="12" t="str">
        <f>IF(Contents!$B$2=2,"th. cubic meters","тыс. куб. м")</f>
        <v>тыс. куб. м</v>
      </c>
      <c r="D178" s="221" t="s">
        <v>185</v>
      </c>
      <c r="E178" s="221" t="s">
        <v>185</v>
      </c>
      <c r="F178" s="221" t="s">
        <v>185</v>
      </c>
      <c r="G178" s="221" t="s">
        <v>185</v>
      </c>
      <c r="H178" s="205">
        <v>633</v>
      </c>
      <c r="I178" s="205">
        <v>827</v>
      </c>
      <c r="J178" s="317">
        <v>861</v>
      </c>
      <c r="K178" s="317">
        <v>827</v>
      </c>
      <c r="L178" s="317">
        <v>902</v>
      </c>
      <c r="M178" s="317">
        <v>1046</v>
      </c>
      <c r="N178" s="318">
        <v>784</v>
      </c>
      <c r="O178" s="887"/>
      <c r="P178" s="277" t="str">
        <f>IF(Contents!$B$2=2,"Yes","Да")</f>
        <v>Да</v>
      </c>
      <c r="Q178" s="511"/>
      <c r="R178" s="273"/>
      <c r="S178" s="273"/>
      <c r="T178" s="273"/>
      <c r="U178" s="613"/>
      <c r="V178" s="273"/>
      <c r="W178" s="277">
        <v>2</v>
      </c>
      <c r="X178" s="308"/>
      <c r="Y178" s="273"/>
      <c r="Z178" s="606"/>
      <c r="AA178" s="585"/>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c r="HM178" s="14"/>
      <c r="HN178" s="14"/>
      <c r="HO178" s="14"/>
      <c r="HP178" s="14"/>
      <c r="HQ178" s="14"/>
      <c r="HR178" s="14"/>
      <c r="HS178" s="14"/>
      <c r="HT178" s="14"/>
      <c r="HU178" s="14"/>
      <c r="HV178" s="14"/>
      <c r="HW178" s="14"/>
      <c r="HX178" s="14"/>
      <c r="HY178" s="14"/>
      <c r="HZ178" s="14"/>
      <c r="IA178" s="14"/>
      <c r="IB178" s="14"/>
      <c r="IC178" s="14"/>
      <c r="ID178" s="14"/>
      <c r="IE178" s="14"/>
      <c r="IF178" s="14"/>
      <c r="IG178" s="14"/>
      <c r="IH178" s="14"/>
      <c r="II178" s="14"/>
      <c r="IJ178" s="14"/>
      <c r="IK178" s="14"/>
      <c r="IL178" s="14"/>
      <c r="IM178" s="14"/>
      <c r="IN178" s="14"/>
      <c r="IO178" s="14"/>
      <c r="IP178" s="14"/>
      <c r="IQ178" s="14"/>
      <c r="IR178" s="14"/>
    </row>
    <row r="179" spans="1:252" s="1" customFormat="1">
      <c r="A179" s="251"/>
      <c r="B179" s="11" t="str">
        <f>IF(Contents!$B$2=2,"Seawater","Морские воды")</f>
        <v>Морские воды</v>
      </c>
      <c r="C179" s="12" t="str">
        <f>IF(Contents!$B$2=2,"th. cubic meters","тыс. куб. м")</f>
        <v>тыс. куб. м</v>
      </c>
      <c r="D179" s="221" t="s">
        <v>185</v>
      </c>
      <c r="E179" s="221" t="s">
        <v>185</v>
      </c>
      <c r="F179" s="221" t="s">
        <v>185</v>
      </c>
      <c r="G179" s="221" t="s">
        <v>185</v>
      </c>
      <c r="H179" s="221">
        <v>0</v>
      </c>
      <c r="I179" s="221">
        <v>0</v>
      </c>
      <c r="J179" s="317">
        <v>476</v>
      </c>
      <c r="K179" s="317">
        <v>0</v>
      </c>
      <c r="L179" s="317">
        <v>1376</v>
      </c>
      <c r="M179" s="317">
        <v>1318</v>
      </c>
      <c r="N179" s="318">
        <v>62</v>
      </c>
      <c r="O179" s="887"/>
      <c r="P179" s="277" t="str">
        <f>IF(Contents!$B$2=2,"Yes","Да")</f>
        <v>Да</v>
      </c>
      <c r="Q179" s="511"/>
      <c r="R179" s="273"/>
      <c r="S179" s="273"/>
      <c r="T179" s="273"/>
      <c r="U179" s="613"/>
      <c r="V179" s="273"/>
      <c r="W179" s="277">
        <v>2</v>
      </c>
      <c r="X179" s="308"/>
      <c r="Y179" s="273"/>
      <c r="Z179" s="606"/>
      <c r="AA179" s="585"/>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c r="IJ179" s="14"/>
      <c r="IK179" s="14"/>
      <c r="IL179" s="14"/>
      <c r="IM179" s="14"/>
      <c r="IN179" s="14"/>
      <c r="IO179" s="14"/>
      <c r="IP179" s="14"/>
      <c r="IQ179" s="14"/>
      <c r="IR179" s="14"/>
    </row>
    <row r="180" spans="1:252" s="1" customFormat="1">
      <c r="A180" s="251"/>
      <c r="B180" s="11" t="str">
        <f>IF(Contents!$B$2=2,"Water from third parties","Воды из сторонних организаций")</f>
        <v>Воды из сторонних организаций</v>
      </c>
      <c r="C180" s="12" t="str">
        <f>IF(Contents!$B$2=2,"th. cubic meters","тыс. куб. м")</f>
        <v>тыс. куб. м</v>
      </c>
      <c r="D180" s="221" t="s">
        <v>185</v>
      </c>
      <c r="E180" s="221" t="s">
        <v>185</v>
      </c>
      <c r="F180" s="221" t="s">
        <v>185</v>
      </c>
      <c r="G180" s="221" t="s">
        <v>185</v>
      </c>
      <c r="H180" s="205">
        <v>3</v>
      </c>
      <c r="I180" s="205">
        <v>29</v>
      </c>
      <c r="J180" s="317">
        <v>32</v>
      </c>
      <c r="K180" s="317">
        <v>34</v>
      </c>
      <c r="L180" s="317">
        <v>43</v>
      </c>
      <c r="M180" s="317">
        <v>82</v>
      </c>
      <c r="N180" s="318">
        <v>124</v>
      </c>
      <c r="O180" s="887"/>
      <c r="P180" s="277" t="str">
        <f>IF(Contents!$B$2=2,"Yes","Да")</f>
        <v>Да</v>
      </c>
      <c r="Q180" s="511"/>
      <c r="R180" s="273"/>
      <c r="S180" s="273"/>
      <c r="T180" s="273"/>
      <c r="U180" s="613"/>
      <c r="V180" s="273"/>
      <c r="W180" s="277">
        <v>2</v>
      </c>
      <c r="X180" s="308"/>
      <c r="Y180" s="273"/>
      <c r="Z180" s="606"/>
      <c r="AA180" s="585"/>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c r="HM180" s="14"/>
      <c r="HN180" s="14"/>
      <c r="HO180" s="14"/>
      <c r="HP180" s="14"/>
      <c r="HQ180" s="14"/>
      <c r="HR180" s="14"/>
      <c r="HS180" s="14"/>
      <c r="HT180" s="14"/>
      <c r="HU180" s="14"/>
      <c r="HV180" s="14"/>
      <c r="HW180" s="14"/>
      <c r="HX180" s="14"/>
      <c r="HY180" s="14"/>
      <c r="HZ180" s="14"/>
      <c r="IA180" s="14"/>
      <c r="IB180" s="14"/>
      <c r="IC180" s="14"/>
      <c r="ID180" s="14"/>
      <c r="IE180" s="14"/>
      <c r="IF180" s="14"/>
      <c r="IG180" s="14"/>
      <c r="IH180" s="14"/>
      <c r="II180" s="14"/>
      <c r="IJ180" s="14"/>
      <c r="IK180" s="14"/>
      <c r="IL180" s="14"/>
      <c r="IM180" s="14"/>
      <c r="IN180" s="14"/>
      <c r="IO180" s="14"/>
      <c r="IP180" s="14"/>
      <c r="IQ180" s="14"/>
      <c r="IR180" s="14"/>
    </row>
    <row r="181" spans="1:252" s="1" customFormat="1">
      <c r="A181" s="251"/>
      <c r="B181" s="11"/>
      <c r="C181" s="12"/>
      <c r="D181" s="221"/>
      <c r="E181" s="221"/>
      <c r="F181" s="221"/>
      <c r="G181" s="221"/>
      <c r="H181" s="205"/>
      <c r="I181" s="205"/>
      <c r="J181" s="317"/>
      <c r="K181" s="317"/>
      <c r="L181" s="317"/>
      <c r="M181" s="317"/>
      <c r="N181" s="317"/>
      <c r="O181" s="253"/>
      <c r="P181" s="277"/>
      <c r="Q181" s="511"/>
      <c r="R181" s="273"/>
      <c r="S181" s="273"/>
      <c r="T181" s="273"/>
      <c r="U181" s="613"/>
      <c r="V181" s="273"/>
      <c r="W181" s="277"/>
      <c r="X181" s="308"/>
      <c r="Y181" s="273"/>
      <c r="Z181" s="606"/>
      <c r="AA181" s="585"/>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c r="IJ181" s="14"/>
      <c r="IK181" s="14"/>
      <c r="IL181" s="14"/>
      <c r="IM181" s="14"/>
      <c r="IN181" s="14"/>
      <c r="IO181" s="14"/>
      <c r="IP181" s="14"/>
      <c r="IQ181" s="14"/>
      <c r="IR181" s="14"/>
    </row>
    <row r="182" spans="1:252" s="1" customFormat="1">
      <c r="A182" s="251"/>
      <c r="B182" s="52" t="str">
        <f>IF(Contents!$B$2=2,"Water withdrawal in regions with water stress","Объем забираемой воды в регионах с дефицитом водных ресурсов")</f>
        <v>Объем забираемой воды в регионах с дефицитом водных ресурсов</v>
      </c>
      <c r="C182" s="12" t="str">
        <f>IF(Contents!$B$2=2,"th. cubic meters","тыс. куб. м")</f>
        <v>тыс. куб. м</v>
      </c>
      <c r="D182" s="10">
        <v>0</v>
      </c>
      <c r="E182" s="10">
        <v>0</v>
      </c>
      <c r="F182" s="10">
        <v>0</v>
      </c>
      <c r="G182" s="10">
        <v>0</v>
      </c>
      <c r="H182" s="10">
        <v>0</v>
      </c>
      <c r="I182" s="10">
        <v>0</v>
      </c>
      <c r="J182" s="10">
        <v>0</v>
      </c>
      <c r="K182" s="10">
        <v>0</v>
      </c>
      <c r="L182" s="10">
        <v>0</v>
      </c>
      <c r="M182" s="10">
        <v>0</v>
      </c>
      <c r="N182" s="98">
        <v>0</v>
      </c>
      <c r="O182" s="253"/>
      <c r="P182" s="277" t="str">
        <f>IF(Contents!$B$2=2,"Yes","Да")</f>
        <v>Да</v>
      </c>
      <c r="Q182" s="511"/>
      <c r="R182" s="56" t="s">
        <v>101</v>
      </c>
      <c r="S182" s="56" t="s">
        <v>102</v>
      </c>
      <c r="T182" s="56"/>
      <c r="U182" s="60"/>
      <c r="V182" s="56"/>
      <c r="W182" s="277">
        <v>2</v>
      </c>
      <c r="X182" s="297"/>
      <c r="Y182" s="56"/>
      <c r="Z182" s="606"/>
      <c r="AA182" s="585"/>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14"/>
      <c r="HE182" s="14"/>
      <c r="HF182" s="14"/>
      <c r="HG182" s="14"/>
      <c r="HH182" s="14"/>
      <c r="HI182" s="14"/>
      <c r="HJ182" s="14"/>
      <c r="HK182" s="14"/>
      <c r="HL182" s="14"/>
      <c r="HM182" s="14"/>
      <c r="HN182" s="14"/>
      <c r="HO182" s="14"/>
      <c r="HP182" s="14"/>
      <c r="HQ182" s="14"/>
      <c r="HR182" s="14"/>
      <c r="HS182" s="14"/>
      <c r="HT182" s="14"/>
      <c r="HU182" s="14"/>
      <c r="HV182" s="14"/>
      <c r="HW182" s="14"/>
      <c r="HX182" s="14"/>
      <c r="HY182" s="14"/>
      <c r="HZ182" s="14"/>
      <c r="IA182" s="14"/>
      <c r="IB182" s="14"/>
      <c r="IC182" s="14"/>
      <c r="ID182" s="14"/>
      <c r="IE182" s="14"/>
      <c r="IF182" s="14"/>
      <c r="IG182" s="14"/>
      <c r="IH182" s="14"/>
      <c r="II182" s="14"/>
      <c r="IJ182" s="14"/>
      <c r="IK182" s="14"/>
      <c r="IL182" s="14"/>
      <c r="IM182" s="14"/>
      <c r="IN182" s="14"/>
      <c r="IO182" s="14"/>
      <c r="IP182" s="14"/>
      <c r="IQ182" s="14"/>
      <c r="IR182" s="14"/>
    </row>
    <row r="183" spans="1:252" s="1" customFormat="1">
      <c r="A183" s="251"/>
      <c r="B183" s="321"/>
      <c r="C183" s="322"/>
      <c r="D183" s="221"/>
      <c r="E183" s="221"/>
      <c r="F183" s="221"/>
      <c r="G183" s="221"/>
      <c r="H183" s="205"/>
      <c r="I183" s="205"/>
      <c r="J183" s="317"/>
      <c r="K183" s="317"/>
      <c r="L183" s="317"/>
      <c r="M183" s="317"/>
      <c r="N183" s="317"/>
      <c r="O183" s="253"/>
      <c r="P183" s="273"/>
      <c r="Q183" s="511"/>
      <c r="R183" s="273"/>
      <c r="S183" s="273"/>
      <c r="T183" s="273"/>
      <c r="U183" s="613"/>
      <c r="V183" s="273"/>
      <c r="W183" s="273"/>
      <c r="X183" s="273"/>
      <c r="Y183" s="273"/>
      <c r="Z183" s="606"/>
      <c r="AA183" s="585"/>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c r="HM183" s="14"/>
      <c r="HN183" s="14"/>
      <c r="HO183" s="14"/>
      <c r="HP183" s="14"/>
      <c r="HQ183" s="14"/>
      <c r="HR183" s="14"/>
      <c r="HS183" s="14"/>
      <c r="HT183" s="14"/>
      <c r="HU183" s="14"/>
      <c r="HV183" s="14"/>
      <c r="HW183" s="14"/>
      <c r="HX183" s="14"/>
      <c r="HY183" s="14"/>
      <c r="HZ183" s="14"/>
      <c r="IA183" s="14"/>
      <c r="IB183" s="14"/>
      <c r="IC183" s="14"/>
      <c r="ID183" s="14"/>
      <c r="IE183" s="14"/>
      <c r="IF183" s="14"/>
      <c r="IG183" s="14"/>
      <c r="IH183" s="14"/>
      <c r="II183" s="14"/>
      <c r="IJ183" s="14"/>
      <c r="IK183" s="14"/>
      <c r="IL183" s="14"/>
      <c r="IM183" s="14"/>
      <c r="IN183" s="14"/>
      <c r="IO183" s="14"/>
      <c r="IP183" s="14"/>
      <c r="IQ183" s="14"/>
      <c r="IR183" s="14"/>
    </row>
    <row r="184" spans="1:252" s="1" customFormat="1" ht="25.5">
      <c r="A184" s="251"/>
      <c r="B184" s="274" t="str">
        <f>IF(Contents!$B$2=2,"Total water consumption","Водопотребление")</f>
        <v>Водопотребление</v>
      </c>
      <c r="C184" s="42" t="str">
        <f>IF(Contents!$B$2=2,"th. cubic meters","тыс. куб. м")</f>
        <v>тыс. куб. м</v>
      </c>
      <c r="D184" s="295" t="s">
        <v>185</v>
      </c>
      <c r="E184" s="295" t="s">
        <v>185</v>
      </c>
      <c r="F184" s="295" t="s">
        <v>185</v>
      </c>
      <c r="G184" s="295" t="s">
        <v>185</v>
      </c>
      <c r="H184" s="295" t="s">
        <v>185</v>
      </c>
      <c r="I184" s="323">
        <v>335</v>
      </c>
      <c r="J184" s="323">
        <v>466</v>
      </c>
      <c r="K184" s="323">
        <v>414</v>
      </c>
      <c r="L184" s="323">
        <v>1808</v>
      </c>
      <c r="M184" s="323">
        <v>1640</v>
      </c>
      <c r="N184" s="323">
        <v>215</v>
      </c>
      <c r="O184" s="889"/>
      <c r="P184" s="277" t="str">
        <f>IF(Contents!$B$2=2,"Yes","Да")</f>
        <v>Да</v>
      </c>
      <c r="Q184" s="511"/>
      <c r="R184" s="273" t="s">
        <v>104</v>
      </c>
      <c r="S184" s="273"/>
      <c r="T184" s="273"/>
      <c r="U184" s="273" t="str">
        <f>IF(Contents!$B$2=2,"PBCS 4","СОКБ 4")</f>
        <v>СОКБ 4</v>
      </c>
      <c r="V184" s="273"/>
      <c r="W184" s="277">
        <v>2</v>
      </c>
      <c r="X184" s="308"/>
      <c r="Y184" s="273"/>
      <c r="Z184" s="606"/>
      <c r="AA184" s="585"/>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c r="HM184" s="14"/>
      <c r="HN184" s="14"/>
      <c r="HO184" s="14"/>
      <c r="HP184" s="14"/>
      <c r="HQ184" s="14"/>
      <c r="HR184" s="14"/>
      <c r="HS184" s="14"/>
      <c r="HT184" s="14"/>
      <c r="HU184" s="14"/>
      <c r="HV184" s="14"/>
      <c r="HW184" s="14"/>
      <c r="HX184" s="14"/>
      <c r="HY184" s="14"/>
      <c r="HZ184" s="14"/>
      <c r="IA184" s="14"/>
      <c r="IB184" s="14"/>
      <c r="IC184" s="14"/>
      <c r="ID184" s="14"/>
      <c r="IE184" s="14"/>
      <c r="IF184" s="14"/>
      <c r="IG184" s="14"/>
      <c r="IH184" s="14"/>
      <c r="II184" s="14"/>
      <c r="IJ184" s="14"/>
      <c r="IK184" s="14"/>
      <c r="IL184" s="14"/>
      <c r="IM184" s="14"/>
      <c r="IN184" s="14"/>
      <c r="IO184" s="14"/>
      <c r="IP184" s="14"/>
      <c r="IQ184" s="14"/>
      <c r="IR184" s="14"/>
    </row>
    <row r="185" spans="1:252">
      <c r="A185" s="116"/>
      <c r="B185" s="75" t="str">
        <f>IF(Contents!$B$2=2,"Specific water consumption","Удельное водопотребление")</f>
        <v>Удельное водопотребление</v>
      </c>
      <c r="C185" s="327" t="str">
        <f>IF(Contents!$B$2=2,"cubic meters / mboe","куб. м / тыс. бнэ")</f>
        <v>куб. м / тыс. бнэ</v>
      </c>
      <c r="D185" s="328" t="s">
        <v>185</v>
      </c>
      <c r="E185" s="328" t="s">
        <v>185</v>
      </c>
      <c r="F185" s="328" t="s">
        <v>185</v>
      </c>
      <c r="G185" s="329" t="s">
        <v>185</v>
      </c>
      <c r="H185" s="329" t="s">
        <v>185</v>
      </c>
      <c r="I185" s="330">
        <v>0.55000000000000004</v>
      </c>
      <c r="J185" s="330">
        <v>0.74</v>
      </c>
      <c r="K185" s="330">
        <v>0.66</v>
      </c>
      <c r="L185" s="330">
        <v>2.8</v>
      </c>
      <c r="M185" s="330">
        <v>2.46</v>
      </c>
      <c r="N185" s="330">
        <v>0.32</v>
      </c>
      <c r="O185" s="889"/>
      <c r="P185" s="277"/>
      <c r="Q185" s="511"/>
      <c r="R185" s="273"/>
      <c r="S185" s="273"/>
      <c r="T185" s="273"/>
      <c r="U185" s="273"/>
      <c r="V185" s="273"/>
      <c r="W185" s="277">
        <v>2</v>
      </c>
      <c r="X185" s="308"/>
      <c r="Y185" s="273"/>
      <c r="AA185" s="585"/>
    </row>
    <row r="186" spans="1:252">
      <c r="A186" s="116"/>
      <c r="B186" s="23" t="str">
        <f>IF(Contents!$B$2=2,"by segment","по сегментам")</f>
        <v>по сегментам</v>
      </c>
      <c r="C186" s="324"/>
      <c r="D186" s="325"/>
      <c r="E186" s="325"/>
      <c r="F186" s="325"/>
      <c r="G186" s="304"/>
      <c r="H186" s="304"/>
      <c r="I186" s="304"/>
      <c r="J186" s="326"/>
      <c r="K186" s="326"/>
      <c r="L186" s="326"/>
      <c r="M186" s="326"/>
      <c r="N186" s="326"/>
      <c r="P186" s="277"/>
      <c r="Q186" s="511"/>
      <c r="R186" s="273"/>
      <c r="S186" s="273"/>
      <c r="T186" s="273"/>
      <c r="U186" s="273"/>
      <c r="V186" s="273"/>
      <c r="W186" s="273"/>
      <c r="X186" s="273"/>
      <c r="Y186" s="273"/>
      <c r="AA186" s="585"/>
    </row>
    <row r="187" spans="1:252">
      <c r="A187" s="857"/>
      <c r="B187" s="41" t="str">
        <f>IF(Contents!$B$2=2,"Exploration and production enterprises","Предприятия разведки и добычи")</f>
        <v>Предприятия разведки и добычи</v>
      </c>
      <c r="C187" s="76" t="str">
        <f>IF(Contents!$B$2=2,"cubic meters / mboe","куб. м / тыс. бнэ")</f>
        <v>куб. м / тыс. бнэ</v>
      </c>
      <c r="D187" s="221" t="s">
        <v>185</v>
      </c>
      <c r="E187" s="221" t="s">
        <v>185</v>
      </c>
      <c r="F187" s="221" t="s">
        <v>185</v>
      </c>
      <c r="G187" s="221" t="s">
        <v>185</v>
      </c>
      <c r="H187" s="331">
        <v>3.7</v>
      </c>
      <c r="I187" s="280">
        <v>2.17</v>
      </c>
      <c r="J187" s="331">
        <v>3.61</v>
      </c>
      <c r="K187" s="331">
        <v>2.38</v>
      </c>
      <c r="L187" s="331">
        <v>3.65</v>
      </c>
      <c r="M187" s="331">
        <v>3.52</v>
      </c>
      <c r="N187" s="332">
        <v>1.92</v>
      </c>
      <c r="O187" s="889"/>
      <c r="P187" s="277"/>
      <c r="Q187" s="511"/>
      <c r="R187" s="273"/>
      <c r="S187" s="273"/>
      <c r="T187" s="273"/>
      <c r="U187" s="623"/>
      <c r="V187" s="273"/>
      <c r="W187" s="277">
        <v>2</v>
      </c>
      <c r="X187" s="297"/>
      <c r="Y187" s="273"/>
      <c r="AA187" s="585"/>
    </row>
    <row r="188" spans="1:252">
      <c r="A188" s="116"/>
      <c r="B188" s="41" t="str">
        <f>IF(Contents!$B$2=2,"Refineries","Предприятия переработки")</f>
        <v>Предприятия переработки</v>
      </c>
      <c r="C188" s="333" t="str">
        <f>IF(Contents!$B$2=2,"cubic meters / ton of products","куб. м / т продукции")</f>
        <v>куб. м / т продукции</v>
      </c>
      <c r="D188" s="221" t="s">
        <v>185</v>
      </c>
      <c r="E188" s="221" t="s">
        <v>185</v>
      </c>
      <c r="F188" s="221" t="s">
        <v>185</v>
      </c>
      <c r="G188" s="221" t="s">
        <v>185</v>
      </c>
      <c r="H188" s="331">
        <v>1.0999999999999999E-2</v>
      </c>
      <c r="I188" s="331">
        <v>0.01</v>
      </c>
      <c r="J188" s="331">
        <v>0.01</v>
      </c>
      <c r="K188" s="331">
        <v>0.01</v>
      </c>
      <c r="L188" s="331">
        <v>0.02</v>
      </c>
      <c r="M188" s="331">
        <v>0.02</v>
      </c>
      <c r="N188" s="332">
        <v>0.01</v>
      </c>
      <c r="O188" s="889"/>
      <c r="P188" s="277"/>
      <c r="Q188" s="511"/>
      <c r="R188" s="273"/>
      <c r="S188" s="273"/>
      <c r="T188" s="273"/>
      <c r="U188" s="624"/>
      <c r="V188" s="273"/>
      <c r="W188" s="277">
        <v>2</v>
      </c>
      <c r="X188" s="297"/>
      <c r="Y188" s="273"/>
      <c r="AA188" s="585"/>
    </row>
    <row r="189" spans="1:252">
      <c r="A189" s="116"/>
      <c r="B189" s="52" t="str">
        <f>IF(Contents!$B$2=2,"Water consumption in regions with water stress","Потребление воды в регионах с дефицитом водных ресурсов")</f>
        <v>Потребление воды в регионах с дефицитом водных ресурсов</v>
      </c>
      <c r="C189" s="12" t="str">
        <f>IF(Contents!$B$2=2,"th. cubic meters","тыс. куб. м")</f>
        <v>тыс. куб. м</v>
      </c>
      <c r="D189" s="10">
        <v>0</v>
      </c>
      <c r="E189" s="10">
        <v>0</v>
      </c>
      <c r="F189" s="10">
        <v>0</v>
      </c>
      <c r="G189" s="10">
        <v>0</v>
      </c>
      <c r="H189" s="10">
        <v>0</v>
      </c>
      <c r="I189" s="10">
        <v>0</v>
      </c>
      <c r="J189" s="10">
        <v>0</v>
      </c>
      <c r="K189" s="10">
        <v>0</v>
      </c>
      <c r="L189" s="10">
        <v>0</v>
      </c>
      <c r="M189" s="10">
        <v>0</v>
      </c>
      <c r="N189" s="98">
        <v>0</v>
      </c>
      <c r="O189" s="887"/>
      <c r="P189" s="277"/>
      <c r="Q189" s="511"/>
      <c r="R189" s="56"/>
      <c r="S189" s="56"/>
      <c r="T189" s="56"/>
      <c r="U189" s="60"/>
      <c r="V189" s="56"/>
      <c r="W189" s="277">
        <v>2</v>
      </c>
      <c r="X189" s="297"/>
      <c r="Y189" s="56"/>
      <c r="AA189" s="585"/>
    </row>
    <row r="190" spans="1:252">
      <c r="A190" s="116"/>
      <c r="B190" s="57"/>
      <c r="C190" s="12"/>
      <c r="D190" s="10"/>
      <c r="E190" s="10"/>
      <c r="F190" s="10"/>
      <c r="G190" s="10"/>
      <c r="H190" s="10"/>
      <c r="I190" s="10"/>
      <c r="J190" s="10"/>
      <c r="K190" s="10"/>
      <c r="L190" s="10"/>
      <c r="M190" s="10"/>
      <c r="N190" s="58"/>
      <c r="P190" s="277"/>
      <c r="R190" s="56"/>
      <c r="S190" s="56"/>
      <c r="T190" s="56"/>
      <c r="U190" s="60"/>
      <c r="V190" s="56"/>
      <c r="W190" s="56"/>
      <c r="X190" s="56"/>
      <c r="Y190" s="56"/>
      <c r="AA190" s="585"/>
    </row>
    <row r="191" spans="1:252">
      <c r="A191" s="116"/>
      <c r="B191" s="25" t="str">
        <f>IF(Contents!$B$2=2,"Notes:","Примечания:")</f>
        <v>Примечания:</v>
      </c>
      <c r="C191" s="61"/>
      <c r="D191" s="62"/>
      <c r="E191" s="62"/>
      <c r="F191" s="62"/>
      <c r="G191" s="62"/>
      <c r="H191" s="62"/>
      <c r="I191" s="62"/>
      <c r="J191" s="62"/>
      <c r="K191" s="62"/>
      <c r="L191" s="62"/>
      <c r="M191" s="62"/>
      <c r="N191" s="62"/>
      <c r="P191" s="56"/>
      <c r="R191" s="56"/>
      <c r="S191" s="56"/>
      <c r="T191" s="56"/>
      <c r="U191" s="60"/>
      <c r="V191" s="56"/>
      <c r="W191" s="56"/>
      <c r="X191" s="56"/>
      <c r="Y191" s="56"/>
      <c r="AA191" s="585"/>
    </row>
    <row r="192" spans="1:252">
      <c r="A192" s="116"/>
      <c r="B192" s="65" t="str">
        <f>IF(Contents!$B$2=2,"1,000 cubic meters  = 1 megalitre, which meets the requirements of GRI 303.","1 тыс. куб. м = 1 мегалитр, что соответствует требованиям GRI 303.")</f>
        <v>1 тыс. куб. м = 1 мегалитр, что соответствует требованиям GRI 303.</v>
      </c>
      <c r="C192" s="61"/>
      <c r="D192" s="62"/>
      <c r="E192" s="62"/>
      <c r="F192" s="62"/>
      <c r="G192" s="62"/>
      <c r="H192" s="62"/>
      <c r="I192" s="62"/>
      <c r="J192" s="62"/>
      <c r="K192" s="62"/>
      <c r="L192" s="62"/>
      <c r="M192" s="62"/>
      <c r="N192" s="63"/>
      <c r="P192" s="56"/>
      <c r="R192" s="56"/>
      <c r="S192" s="56"/>
      <c r="T192" s="56"/>
      <c r="U192" s="60"/>
      <c r="V192" s="56"/>
      <c r="W192" s="56"/>
      <c r="X192" s="56"/>
      <c r="Y192" s="56"/>
      <c r="AA192" s="585"/>
    </row>
    <row r="193" spans="1:27">
      <c r="A193" s="116"/>
      <c r="B193" s="65" t="str">
        <f>IF(Contents!$B$2=2,"Total water consumption is defined as the difference between total water intake and total water discharge.","Общее потребление воды определяется как разница между общим забором воды и общим водоотведением.")</f>
        <v>Общее потребление воды определяется как разница между общим забором воды и общим водоотведением.</v>
      </c>
      <c r="C193" s="65"/>
      <c r="D193" s="65"/>
      <c r="E193" s="65"/>
      <c r="F193" s="65"/>
      <c r="G193" s="65"/>
      <c r="H193" s="65"/>
      <c r="I193" s="65"/>
      <c r="J193" s="65"/>
      <c r="K193" s="65"/>
      <c r="L193" s="65"/>
      <c r="M193" s="65"/>
      <c r="N193" s="65"/>
      <c r="P193" s="56"/>
      <c r="R193" s="56"/>
      <c r="S193" s="56"/>
      <c r="T193" s="56"/>
      <c r="U193" s="60"/>
      <c r="V193" s="56"/>
      <c r="W193" s="56"/>
      <c r="X193" s="56"/>
      <c r="Y193" s="56"/>
      <c r="AA193" s="585"/>
    </row>
    <row r="194" spans="1:27">
      <c r="B194" s="65" t="str">
        <f>IF(Contents!$B$2=2,"Specific water consumption is calculated by dividing the volume of water consumption by the volume of production/processing in the relevant business segment, including the Company's share in joint ventures.","Удельное водопотребление рассчитывается путем деления объемов водопотребления на объемы производства/переработки в соответствующем бизнес-сегменте, включая долю Компании в совместных предприятиях.")</f>
        <v>Удельное водопотребление рассчитывается путем деления объемов водопотребления на объемы производства/переработки в соответствующем бизнес-сегменте, включая долю Компании в совместных предприятиях.</v>
      </c>
      <c r="C194" s="65"/>
      <c r="D194" s="65"/>
      <c r="E194" s="65"/>
      <c r="F194" s="65"/>
      <c r="G194" s="65"/>
      <c r="H194" s="65"/>
      <c r="I194" s="65"/>
      <c r="J194" s="65"/>
      <c r="K194" s="65"/>
      <c r="L194" s="65"/>
      <c r="M194" s="65"/>
      <c r="N194" s="65"/>
      <c r="P194" s="273"/>
      <c r="R194" s="273"/>
      <c r="S194" s="273"/>
      <c r="T194" s="273"/>
      <c r="U194" s="613"/>
      <c r="V194" s="273"/>
      <c r="W194" s="273"/>
      <c r="X194" s="273"/>
      <c r="Y194" s="273"/>
      <c r="AA194" s="585"/>
    </row>
    <row r="195" spans="1:27">
      <c r="B195" s="65" t="str">
        <f>IF(Contents!$B$2=2,"In the Other withdrawal (total mineralization exceeding 1,000 mg/l) line, the values are determined by subtracting the volume of fresh water consumption from the total water consumption.","В графе Прочая вода (общая минерализация более 1000 мг/л) значения определены вычитанием из общего водопотребления объема потребления пресной воды.")</f>
        <v>В графе Прочая вода (общая минерализация более 1000 мг/л) значения определены вычитанием из общего водопотребления объема потребления пресной воды.</v>
      </c>
      <c r="C195" s="65"/>
      <c r="D195" s="65"/>
      <c r="E195" s="65"/>
      <c r="F195" s="65"/>
      <c r="G195" s="65"/>
      <c r="H195" s="65"/>
      <c r="I195" s="65"/>
      <c r="J195" s="65"/>
      <c r="K195" s="65"/>
      <c r="L195" s="65"/>
      <c r="M195" s="65"/>
      <c r="N195" s="65"/>
      <c r="P195" s="273"/>
      <c r="R195" s="273"/>
      <c r="S195" s="273"/>
      <c r="T195" s="273"/>
      <c r="U195" s="613"/>
      <c r="V195" s="273"/>
      <c r="W195" s="273"/>
      <c r="X195" s="273"/>
      <c r="Y195" s="273"/>
      <c r="AA195" s="585"/>
    </row>
    <row r="196" spans="1:27">
      <c r="A196" s="116"/>
      <c r="B196" s="52"/>
      <c r="C196" s="165"/>
      <c r="D196" s="293"/>
      <c r="E196" s="293"/>
      <c r="F196" s="293"/>
      <c r="G196" s="293"/>
      <c r="H196" s="293"/>
      <c r="I196" s="293"/>
      <c r="J196" s="293"/>
      <c r="K196" s="293"/>
      <c r="L196" s="293"/>
      <c r="M196" s="293"/>
      <c r="N196" s="334"/>
      <c r="P196" s="926"/>
      <c r="R196" s="297"/>
      <c r="S196" s="297"/>
      <c r="T196" s="297"/>
      <c r="U196" s="299"/>
      <c r="V196" s="297"/>
      <c r="W196" s="297"/>
      <c r="X196" s="297"/>
      <c r="Y196" s="297"/>
      <c r="Z196" s="617"/>
      <c r="AA196" s="585"/>
    </row>
    <row r="197" spans="1:27" ht="25.5">
      <c r="A197" s="116"/>
      <c r="B197" s="274" t="str">
        <f>IF(Contents!$B$2=2,"Water discharge","Водоотведение")</f>
        <v>Водоотведение</v>
      </c>
      <c r="C197" s="42" t="str">
        <f>IF(Contents!$B$2=2,"th. cubic meters","тыс. куб. м")</f>
        <v>тыс. куб. м</v>
      </c>
      <c r="D197" s="247" t="s">
        <v>185</v>
      </c>
      <c r="E197" s="247" t="s">
        <v>185</v>
      </c>
      <c r="F197" s="247" t="s">
        <v>185</v>
      </c>
      <c r="G197" s="247" t="s">
        <v>185</v>
      </c>
      <c r="H197" s="247">
        <v>2385</v>
      </c>
      <c r="I197" s="247">
        <v>1705</v>
      </c>
      <c r="J197" s="247">
        <v>2509</v>
      </c>
      <c r="K197" s="247">
        <v>2509</v>
      </c>
      <c r="L197" s="247">
        <v>2519</v>
      </c>
      <c r="M197" s="247">
        <v>2584</v>
      </c>
      <c r="N197" s="247">
        <v>1950</v>
      </c>
      <c r="O197" s="876"/>
      <c r="P197" s="277" t="str">
        <f>IF(Contents!$B$2=2,"Yes","Да")</f>
        <v>Да</v>
      </c>
      <c r="Q197" s="511"/>
      <c r="R197" s="273" t="s">
        <v>105</v>
      </c>
      <c r="S197" s="273" t="s">
        <v>106</v>
      </c>
      <c r="T197" s="273" t="s">
        <v>107</v>
      </c>
      <c r="U197" s="273" t="str">
        <f>IF(Contents!$B$2=2,"PBCS 2","СОКБ 2")</f>
        <v>СОКБ 2</v>
      </c>
      <c r="V197" s="273"/>
      <c r="W197" s="277">
        <v>2</v>
      </c>
      <c r="X197" s="308"/>
      <c r="Y197" s="273"/>
      <c r="AA197" s="585"/>
    </row>
    <row r="198" spans="1:27">
      <c r="A198" s="116"/>
      <c r="B198" s="23" t="str">
        <f>IF(Contents!$B$2=2,"by water type","по видам воды")</f>
        <v>по видам воды</v>
      </c>
      <c r="C198" s="13"/>
      <c r="D198" s="335"/>
      <c r="E198" s="335"/>
      <c r="F198" s="335"/>
      <c r="G198" s="335"/>
      <c r="H198" s="336"/>
      <c r="I198" s="337"/>
      <c r="J198" s="337"/>
      <c r="K198" s="337"/>
      <c r="L198" s="337"/>
      <c r="M198" s="337"/>
      <c r="N198" s="337"/>
      <c r="P198" s="273"/>
      <c r="Q198" s="511"/>
      <c r="R198" s="273"/>
      <c r="S198" s="273"/>
      <c r="T198" s="273"/>
      <c r="U198" s="338"/>
      <c r="V198" s="273"/>
      <c r="W198" s="273"/>
      <c r="X198" s="273"/>
      <c r="Y198" s="273"/>
      <c r="AA198" s="585"/>
    </row>
    <row r="199" spans="1:27">
      <c r="A199" s="116"/>
      <c r="B199" s="41" t="str">
        <f>IF(Contents!$B$2=2,"Freshwater withdrawal (total mineralization of no more than 1,000 mg/l)","Пресная вода (общая минерализация не более 1000 мг/л)")</f>
        <v>Пресная вода (общая минерализация не более 1000 мг/л)</v>
      </c>
      <c r="C199" s="12" t="str">
        <f>IF(Contents!$B$2=2,"th. cubic meters","тыс. куб. м")</f>
        <v>тыс. куб. м</v>
      </c>
      <c r="D199" s="221" t="s">
        <v>185</v>
      </c>
      <c r="E199" s="221" t="s">
        <v>185</v>
      </c>
      <c r="F199" s="221" t="s">
        <v>185</v>
      </c>
      <c r="G199" s="221" t="s">
        <v>185</v>
      </c>
      <c r="H199" s="221" t="s">
        <v>185</v>
      </c>
      <c r="I199" s="221" t="s">
        <v>185</v>
      </c>
      <c r="J199" s="101">
        <v>2248</v>
      </c>
      <c r="K199" s="101">
        <v>1911</v>
      </c>
      <c r="L199" s="101">
        <v>1996</v>
      </c>
      <c r="M199" s="101">
        <v>1948</v>
      </c>
      <c r="N199" s="204">
        <v>1458</v>
      </c>
      <c r="P199" s="277" t="str">
        <f>IF(Contents!$B$2=2,"Yes","Да")</f>
        <v>Да</v>
      </c>
      <c r="Q199" s="511"/>
      <c r="R199" s="273"/>
      <c r="S199" s="273"/>
      <c r="T199" s="273"/>
      <c r="U199" s="613"/>
      <c r="V199" s="273"/>
      <c r="W199" s="277">
        <v>2</v>
      </c>
      <c r="X199" s="308"/>
      <c r="Y199" s="273"/>
      <c r="AA199" s="585"/>
    </row>
    <row r="200" spans="1:27">
      <c r="B200" s="41" t="str">
        <f>IF(Contents!$B$2=2,"Other withdrawal (total mineralization exceeding 1,000 mg/l)","Прочая вода (общая минерализация более 1000 мг/л)")</f>
        <v>Прочая вода (общая минерализация более 1000 мг/л)</v>
      </c>
      <c r="C200" s="12" t="str">
        <f>IF(Contents!$B$2=2,"th. cubic meters","тыс. куб. м")</f>
        <v>тыс. куб. м</v>
      </c>
      <c r="D200" s="221" t="s">
        <v>185</v>
      </c>
      <c r="E200" s="221" t="s">
        <v>185</v>
      </c>
      <c r="F200" s="221" t="s">
        <v>185</v>
      </c>
      <c r="G200" s="221" t="s">
        <v>185</v>
      </c>
      <c r="H200" s="221" t="s">
        <v>185</v>
      </c>
      <c r="I200" s="221" t="s">
        <v>185</v>
      </c>
      <c r="J200" s="101">
        <v>261</v>
      </c>
      <c r="K200" s="101">
        <v>598</v>
      </c>
      <c r="L200" s="101">
        <v>523</v>
      </c>
      <c r="M200" s="101">
        <v>636</v>
      </c>
      <c r="N200" s="204">
        <v>492</v>
      </c>
      <c r="P200" s="277" t="str">
        <f>IF(Contents!$B$2=2,"Yes","Да")</f>
        <v>Да</v>
      </c>
      <c r="Q200" s="511"/>
      <c r="R200" s="273"/>
      <c r="S200" s="273"/>
      <c r="T200" s="273"/>
      <c r="U200" s="613"/>
      <c r="V200" s="273"/>
      <c r="W200" s="277">
        <v>2</v>
      </c>
      <c r="X200" s="308"/>
      <c r="Y200" s="273"/>
      <c r="AA200" s="585"/>
    </row>
    <row r="201" spans="1:27">
      <c r="A201" s="116"/>
      <c r="B201" s="23" t="str">
        <f>IF(Contents!$B$2=2,"by types of destination","по типу приемников")</f>
        <v>по типу приемников</v>
      </c>
      <c r="C201" s="13"/>
      <c r="D201" s="335"/>
      <c r="E201" s="335"/>
      <c r="F201" s="335"/>
      <c r="G201" s="335"/>
      <c r="H201" s="336"/>
      <c r="I201" s="337"/>
      <c r="J201" s="337"/>
      <c r="K201" s="337"/>
      <c r="L201" s="337"/>
      <c r="M201" s="337"/>
      <c r="N201" s="337"/>
      <c r="P201" s="273"/>
      <c r="Q201" s="511"/>
      <c r="R201" s="273"/>
      <c r="S201" s="273"/>
      <c r="T201" s="273"/>
      <c r="U201" s="338"/>
      <c r="V201" s="273"/>
      <c r="W201" s="273"/>
      <c r="X201" s="273"/>
      <c r="Y201" s="273"/>
      <c r="AA201" s="585"/>
    </row>
    <row r="202" spans="1:27">
      <c r="A202" s="315"/>
      <c r="B202" s="11" t="str">
        <f>IF(Contents!$B$2=2,"Surface water ","Поверхностные воды")</f>
        <v>Поверхностные воды</v>
      </c>
      <c r="C202" s="12" t="str">
        <f>IF(Contents!$B$2=2,"th. cubic meters","тыс. куб. м")</f>
        <v>тыс. куб. м</v>
      </c>
      <c r="D202" s="221" t="s">
        <v>185</v>
      </c>
      <c r="E202" s="221" t="s">
        <v>185</v>
      </c>
      <c r="F202" s="221" t="s">
        <v>185</v>
      </c>
      <c r="G202" s="221" t="s">
        <v>185</v>
      </c>
      <c r="H202" s="101">
        <v>1234</v>
      </c>
      <c r="I202" s="101">
        <v>630</v>
      </c>
      <c r="J202" s="101">
        <v>223</v>
      </c>
      <c r="K202" s="101">
        <v>752</v>
      </c>
      <c r="L202" s="101">
        <v>927</v>
      </c>
      <c r="M202" s="101">
        <v>806</v>
      </c>
      <c r="N202" s="204">
        <v>497</v>
      </c>
      <c r="O202" s="890"/>
      <c r="P202" s="277" t="str">
        <f>IF(Contents!$B$2=2,"Yes","Да")</f>
        <v>Да</v>
      </c>
      <c r="Q202" s="511"/>
      <c r="R202" s="273"/>
      <c r="S202" s="273"/>
      <c r="T202" s="273"/>
      <c r="U202" s="613"/>
      <c r="V202" s="273"/>
      <c r="W202" s="277">
        <v>2</v>
      </c>
      <c r="X202" s="308"/>
      <c r="Y202" s="273"/>
      <c r="AA202" s="585"/>
    </row>
    <row r="203" spans="1:27">
      <c r="A203" s="315"/>
      <c r="B203" s="11" t="str">
        <f>IF(Contents!$B$2=2,"Ground water","Подземные воды")</f>
        <v>Подземные воды</v>
      </c>
      <c r="C203" s="12" t="str">
        <f>IF(Contents!$B$2=2,"th. cubic meters","тыс. куб. м")</f>
        <v>тыс. куб. м</v>
      </c>
      <c r="D203" s="221" t="s">
        <v>185</v>
      </c>
      <c r="E203" s="221" t="s">
        <v>185</v>
      </c>
      <c r="F203" s="221" t="s">
        <v>185</v>
      </c>
      <c r="G203" s="221" t="s">
        <v>185</v>
      </c>
      <c r="H203" s="101">
        <v>704</v>
      </c>
      <c r="I203" s="101">
        <v>869</v>
      </c>
      <c r="J203" s="101">
        <v>1015</v>
      </c>
      <c r="K203" s="101">
        <v>949</v>
      </c>
      <c r="L203" s="101">
        <v>888</v>
      </c>
      <c r="M203" s="101">
        <v>1007</v>
      </c>
      <c r="N203" s="204">
        <v>857</v>
      </c>
      <c r="O203" s="890"/>
      <c r="P203" s="277" t="str">
        <f>IF(Contents!$B$2=2,"Yes","Да")</f>
        <v>Да</v>
      </c>
      <c r="Q203" s="511"/>
      <c r="R203" s="273"/>
      <c r="S203" s="273"/>
      <c r="T203" s="273"/>
      <c r="U203" s="613"/>
      <c r="V203" s="273"/>
      <c r="W203" s="277">
        <v>2</v>
      </c>
      <c r="X203" s="308"/>
      <c r="Y203" s="273"/>
      <c r="AA203" s="585"/>
    </row>
    <row r="204" spans="1:27">
      <c r="A204" s="315"/>
      <c r="B204" s="11" t="str">
        <f>IF(Contents!$B$2=2,"Seawater","Морские воды")</f>
        <v>Морские воды</v>
      </c>
      <c r="C204" s="12" t="str">
        <f>IF(Contents!$B$2=2,"th. cubic meters","тыс. куб. м")</f>
        <v>тыс. куб. м</v>
      </c>
      <c r="D204" s="221" t="s">
        <v>185</v>
      </c>
      <c r="E204" s="221" t="s">
        <v>185</v>
      </c>
      <c r="F204" s="221" t="s">
        <v>185</v>
      </c>
      <c r="G204" s="221" t="s">
        <v>185</v>
      </c>
      <c r="H204" s="10">
        <v>0</v>
      </c>
      <c r="I204" s="10">
        <v>0</v>
      </c>
      <c r="J204" s="101">
        <v>1026</v>
      </c>
      <c r="K204" s="101">
        <v>663</v>
      </c>
      <c r="L204" s="101">
        <v>574</v>
      </c>
      <c r="M204" s="101">
        <v>630</v>
      </c>
      <c r="N204" s="204">
        <v>450</v>
      </c>
      <c r="O204" s="890"/>
      <c r="P204" s="277" t="str">
        <f>IF(Contents!$B$2=2,"Yes","Да")</f>
        <v>Да</v>
      </c>
      <c r="Q204" s="511"/>
      <c r="R204" s="273"/>
      <c r="S204" s="273"/>
      <c r="T204" s="273"/>
      <c r="U204" s="613"/>
      <c r="V204" s="273"/>
      <c r="W204" s="277">
        <v>2</v>
      </c>
      <c r="X204" s="308"/>
      <c r="Y204" s="273"/>
      <c r="AA204" s="585"/>
    </row>
    <row r="205" spans="1:27">
      <c r="A205" s="315"/>
      <c r="B205" s="11" t="str">
        <f>IF(Contents!$B$2=2,"Third-party water receivers","Приемники воды сторонних организаций")</f>
        <v>Приемники воды сторонних организаций</v>
      </c>
      <c r="C205" s="12" t="str">
        <f>IF(Contents!$B$2=2,"th. cubic meters","тыс. куб. м")</f>
        <v>тыс. куб. м</v>
      </c>
      <c r="D205" s="221" t="s">
        <v>185</v>
      </c>
      <c r="E205" s="221" t="s">
        <v>185</v>
      </c>
      <c r="F205" s="221" t="s">
        <v>185</v>
      </c>
      <c r="G205" s="221" t="s">
        <v>185</v>
      </c>
      <c r="H205" s="101">
        <v>1</v>
      </c>
      <c r="I205" s="101">
        <v>37</v>
      </c>
      <c r="J205" s="101">
        <v>23</v>
      </c>
      <c r="K205" s="101">
        <v>29</v>
      </c>
      <c r="L205" s="101">
        <v>22</v>
      </c>
      <c r="M205" s="101">
        <v>26</v>
      </c>
      <c r="N205" s="204">
        <v>13</v>
      </c>
      <c r="O205" s="890"/>
      <c r="P205" s="277" t="str">
        <f>IF(Contents!$B$2=2,"Yes","Да")</f>
        <v>Да</v>
      </c>
      <c r="Q205" s="511"/>
      <c r="R205" s="273"/>
      <c r="S205" s="273"/>
      <c r="T205" s="273"/>
      <c r="U205" s="613"/>
      <c r="V205" s="273"/>
      <c r="W205" s="277">
        <v>2</v>
      </c>
      <c r="X205" s="297"/>
      <c r="Y205" s="273"/>
      <c r="AA205" s="585"/>
    </row>
    <row r="206" spans="1:27">
      <c r="A206" s="315"/>
      <c r="B206" s="11" t="str">
        <f>IF(Contents!$B$2=2,"Gas flaring systems","Газофакельные установки")</f>
        <v>Газофакельные установки</v>
      </c>
      <c r="C206" s="12" t="str">
        <f>IF(Contents!$B$2=2,"th. cubic meters","тыс. куб. м")</f>
        <v>тыс. куб. м</v>
      </c>
      <c r="D206" s="221" t="s">
        <v>185</v>
      </c>
      <c r="E206" s="221" t="s">
        <v>185</v>
      </c>
      <c r="F206" s="221" t="s">
        <v>185</v>
      </c>
      <c r="G206" s="221" t="s">
        <v>185</v>
      </c>
      <c r="H206" s="101">
        <v>416</v>
      </c>
      <c r="I206" s="101">
        <v>145</v>
      </c>
      <c r="J206" s="101">
        <v>194</v>
      </c>
      <c r="K206" s="101">
        <v>87</v>
      </c>
      <c r="L206" s="101">
        <v>78</v>
      </c>
      <c r="M206" s="101">
        <v>78</v>
      </c>
      <c r="N206" s="204">
        <v>95</v>
      </c>
      <c r="O206" s="890"/>
      <c r="P206" s="277" t="str">
        <f>IF(Contents!$B$2=2,"Yes","Да")</f>
        <v>Да</v>
      </c>
      <c r="Q206" s="511"/>
      <c r="R206" s="273"/>
      <c r="S206" s="273"/>
      <c r="T206" s="273"/>
      <c r="U206" s="613"/>
      <c r="V206" s="273"/>
      <c r="W206" s="277">
        <v>2</v>
      </c>
      <c r="X206" s="308"/>
      <c r="Y206" s="273"/>
      <c r="AA206" s="585"/>
    </row>
    <row r="207" spans="1:27">
      <c r="A207" s="315"/>
      <c r="B207" s="11" t="str">
        <f>IF(Contents!$B$2=2,"Water storages","Накопители")</f>
        <v>Накопители</v>
      </c>
      <c r="C207" s="12" t="str">
        <f>IF(Contents!$B$2=2,"th. cubic meters","тыс. куб. м")</f>
        <v>тыс. куб. м</v>
      </c>
      <c r="D207" s="221" t="s">
        <v>185</v>
      </c>
      <c r="E207" s="221" t="s">
        <v>185</v>
      </c>
      <c r="F207" s="221" t="s">
        <v>185</v>
      </c>
      <c r="G207" s="221" t="s">
        <v>185</v>
      </c>
      <c r="H207" s="101">
        <v>30</v>
      </c>
      <c r="I207" s="101">
        <v>24</v>
      </c>
      <c r="J207" s="101">
        <v>28</v>
      </c>
      <c r="K207" s="101">
        <v>29</v>
      </c>
      <c r="L207" s="101">
        <v>30</v>
      </c>
      <c r="M207" s="101">
        <v>37</v>
      </c>
      <c r="N207" s="204">
        <v>38</v>
      </c>
      <c r="O207" s="890"/>
      <c r="P207" s="277" t="str">
        <f>IF(Contents!$B$2=2,"Yes","Да")</f>
        <v>Да</v>
      </c>
      <c r="Q207" s="511"/>
      <c r="R207" s="273"/>
      <c r="S207" s="273"/>
      <c r="T207" s="273"/>
      <c r="U207" s="613"/>
      <c r="V207" s="273"/>
      <c r="W207" s="277">
        <v>2</v>
      </c>
      <c r="X207" s="297"/>
      <c r="Y207" s="273"/>
      <c r="AA207" s="585"/>
    </row>
    <row r="208" spans="1:27">
      <c r="A208" s="315"/>
      <c r="B208" s="23" t="str">
        <f>IF(Contents!$B$2=2,"by segment","по сегментам")</f>
        <v>по сегментам</v>
      </c>
      <c r="C208" s="13"/>
      <c r="D208" s="298"/>
      <c r="E208" s="298"/>
      <c r="F208" s="298"/>
      <c r="G208" s="298"/>
      <c r="H208" s="298"/>
      <c r="I208" s="298"/>
      <c r="J208" s="316"/>
      <c r="K208" s="316"/>
      <c r="L208" s="316"/>
      <c r="M208" s="316"/>
      <c r="N208" s="316"/>
      <c r="P208" s="277"/>
      <c r="Q208" s="511"/>
      <c r="R208" s="273"/>
      <c r="S208" s="273"/>
      <c r="T208" s="273"/>
      <c r="U208" s="620"/>
      <c r="V208" s="273"/>
      <c r="W208" s="273"/>
      <c r="X208" s="273"/>
      <c r="Y208" s="273"/>
      <c r="AA208" s="585"/>
    </row>
    <row r="209" spans="1:27">
      <c r="A209" s="315"/>
      <c r="B209" s="41" t="str">
        <f>IF(Contents!$B$2=2,"Exploration and production enterprises","Предприятия разведки и добычи")</f>
        <v>Предприятия разведки и добычи</v>
      </c>
      <c r="C209" s="12" t="str">
        <f>IF(Contents!$B$2=2,"th. cubic meters","тыс. куб. м")</f>
        <v>тыс. куб. м</v>
      </c>
      <c r="D209" s="221" t="s">
        <v>185</v>
      </c>
      <c r="E209" s="221" t="s">
        <v>185</v>
      </c>
      <c r="F209" s="221" t="s">
        <v>185</v>
      </c>
      <c r="G209" s="221" t="s">
        <v>185</v>
      </c>
      <c r="H209" s="221" t="s">
        <v>185</v>
      </c>
      <c r="I209" s="221" t="s">
        <v>185</v>
      </c>
      <c r="J209" s="221" t="s">
        <v>185</v>
      </c>
      <c r="K209" s="101">
        <v>908</v>
      </c>
      <c r="L209" s="101">
        <v>923</v>
      </c>
      <c r="M209" s="101">
        <v>1013</v>
      </c>
      <c r="N209" s="204">
        <v>1228</v>
      </c>
      <c r="P209" s="277" t="str">
        <f>IF(Contents!$B$2=2,"Yes","Да")</f>
        <v>Да</v>
      </c>
      <c r="Q209" s="511"/>
      <c r="R209" s="273"/>
      <c r="S209" s="273"/>
      <c r="T209" s="273"/>
      <c r="U209" s="613"/>
      <c r="V209" s="273"/>
      <c r="W209" s="277">
        <v>2</v>
      </c>
      <c r="X209" s="297"/>
      <c r="Y209" s="273"/>
      <c r="AA209" s="585"/>
    </row>
    <row r="210" spans="1:27">
      <c r="A210" s="315"/>
      <c r="B210" s="41" t="str">
        <f>IF(Contents!$B$2=2,"Refineries","Предприятия переработки")</f>
        <v>Предприятия переработки</v>
      </c>
      <c r="C210" s="12" t="str">
        <f>IF(Contents!$B$2=2,"th. cubic meters","тыс. куб. м")</f>
        <v>тыс. куб. м</v>
      </c>
      <c r="D210" s="221" t="s">
        <v>185</v>
      </c>
      <c r="E210" s="221" t="s">
        <v>185</v>
      </c>
      <c r="F210" s="221" t="s">
        <v>185</v>
      </c>
      <c r="G210" s="221" t="s">
        <v>185</v>
      </c>
      <c r="H210" s="221" t="s">
        <v>185</v>
      </c>
      <c r="I210" s="221" t="s">
        <v>185</v>
      </c>
      <c r="J210" s="221" t="s">
        <v>185</v>
      </c>
      <c r="K210" s="101">
        <v>353</v>
      </c>
      <c r="L210" s="101">
        <v>236</v>
      </c>
      <c r="M210" s="101">
        <v>331</v>
      </c>
      <c r="N210" s="204">
        <v>124</v>
      </c>
      <c r="P210" s="277" t="str">
        <f>IF(Contents!$B$2=2,"Yes","Да")</f>
        <v>Да</v>
      </c>
      <c r="Q210" s="511"/>
      <c r="R210" s="273"/>
      <c r="S210" s="273"/>
      <c r="T210" s="273"/>
      <c r="U210" s="613"/>
      <c r="V210" s="273"/>
      <c r="W210" s="277">
        <v>2</v>
      </c>
      <c r="X210" s="297"/>
      <c r="Y210" s="273"/>
      <c r="AA210" s="585"/>
    </row>
    <row r="211" spans="1:27">
      <c r="A211" s="315"/>
      <c r="B211" s="41" t="str">
        <f>IF(Contents!$B$2=2,"Power service enterprises","Предприятия энергосервиса")</f>
        <v>Предприятия энергосервиса</v>
      </c>
      <c r="C211" s="12" t="str">
        <f>IF(Contents!$B$2=2,"th. cubic meters","тыс. куб. м")</f>
        <v>тыс. куб. м</v>
      </c>
      <c r="D211" s="221" t="s">
        <v>185</v>
      </c>
      <c r="E211" s="221" t="s">
        <v>185</v>
      </c>
      <c r="F211" s="221" t="s">
        <v>185</v>
      </c>
      <c r="G211" s="221" t="s">
        <v>185</v>
      </c>
      <c r="H211" s="221" t="s">
        <v>185</v>
      </c>
      <c r="I211" s="221" t="s">
        <v>185</v>
      </c>
      <c r="J211" s="221" t="s">
        <v>185</v>
      </c>
      <c r="K211" s="101">
        <v>631</v>
      </c>
      <c r="L211" s="101">
        <v>714</v>
      </c>
      <c r="M211" s="101">
        <v>546</v>
      </c>
      <c r="N211" s="204">
        <v>108</v>
      </c>
      <c r="P211" s="277" t="str">
        <f>IF(Contents!$B$2=2,"Yes","Да")</f>
        <v>Да</v>
      </c>
      <c r="Q211" s="511"/>
      <c r="R211" s="273"/>
      <c r="S211" s="273"/>
      <c r="T211" s="273"/>
      <c r="U211" s="613"/>
      <c r="V211" s="273"/>
      <c r="W211" s="277">
        <v>2</v>
      </c>
      <c r="X211" s="297"/>
      <c r="Y211" s="273"/>
      <c r="AA211" s="585"/>
    </row>
    <row r="212" spans="1:27">
      <c r="A212" s="315"/>
      <c r="B212" s="41" t="str">
        <f>IF(Contents!$B$2=2,"LNG production enterprises","Предприятия производства СПГ")</f>
        <v>Предприятия производства СПГ</v>
      </c>
      <c r="C212" s="12" t="str">
        <f>IF(Contents!$B$2=2,"th. cubic meters","тыс. куб. м")</f>
        <v>тыс. куб. м</v>
      </c>
      <c r="D212" s="221" t="s">
        <v>185</v>
      </c>
      <c r="E212" s="221" t="s">
        <v>185</v>
      </c>
      <c r="F212" s="221" t="s">
        <v>185</v>
      </c>
      <c r="G212" s="221" t="s">
        <v>185</v>
      </c>
      <c r="H212" s="221" t="s">
        <v>185</v>
      </c>
      <c r="I212" s="221" t="s">
        <v>185</v>
      </c>
      <c r="J212" s="221" t="s">
        <v>185</v>
      </c>
      <c r="K212" s="101">
        <v>617</v>
      </c>
      <c r="L212" s="101">
        <v>646</v>
      </c>
      <c r="M212" s="101">
        <v>694</v>
      </c>
      <c r="N212" s="204">
        <v>490</v>
      </c>
      <c r="P212" s="277" t="str">
        <f>IF(Contents!$B$2=2,"Yes","Да")</f>
        <v>Да</v>
      </c>
      <c r="Q212" s="511"/>
      <c r="R212" s="273"/>
      <c r="S212" s="273"/>
      <c r="T212" s="273"/>
      <c r="U212" s="613"/>
      <c r="V212" s="273"/>
      <c r="W212" s="277">
        <v>2</v>
      </c>
      <c r="X212" s="297"/>
      <c r="Y212" s="273"/>
      <c r="AA212" s="585"/>
    </row>
    <row r="213" spans="1:27">
      <c r="A213" s="315"/>
      <c r="B213" s="41"/>
      <c r="C213" s="12"/>
      <c r="D213" s="221"/>
      <c r="E213" s="221"/>
      <c r="F213" s="221"/>
      <c r="G213" s="221"/>
      <c r="H213" s="221"/>
      <c r="I213" s="221"/>
      <c r="J213" s="221"/>
      <c r="K213" s="101"/>
      <c r="L213" s="101"/>
      <c r="M213" s="101"/>
      <c r="N213" s="101"/>
      <c r="P213" s="277"/>
      <c r="Q213" s="511"/>
      <c r="R213" s="273"/>
      <c r="S213" s="273"/>
      <c r="T213" s="273"/>
      <c r="U213" s="613"/>
      <c r="V213" s="273"/>
      <c r="W213" s="277"/>
      <c r="X213" s="297"/>
      <c r="Y213" s="273"/>
      <c r="AA213" s="585"/>
    </row>
    <row r="214" spans="1:27" ht="25.5">
      <c r="A214" s="315"/>
      <c r="B214" s="52" t="str">
        <f>IF(Contents!$B$2=2,"Volume of water discharge in regions with water stress","Объем сброса воды в регионах с дефицитом водных ресурсов")</f>
        <v>Объем сброса воды в регионах с дефицитом водных ресурсов</v>
      </c>
      <c r="C214" s="12" t="str">
        <f>IF(Contents!$B$2=2,"th. cubic meters","тыс. куб. м")</f>
        <v>тыс. куб. м</v>
      </c>
      <c r="D214" s="10">
        <v>0</v>
      </c>
      <c r="E214" s="10">
        <v>0</v>
      </c>
      <c r="F214" s="10">
        <v>0</v>
      </c>
      <c r="G214" s="10">
        <v>0</v>
      </c>
      <c r="H214" s="10">
        <v>0</v>
      </c>
      <c r="I214" s="10">
        <v>0</v>
      </c>
      <c r="J214" s="10">
        <v>0</v>
      </c>
      <c r="K214" s="10">
        <v>0</v>
      </c>
      <c r="L214" s="10">
        <v>0</v>
      </c>
      <c r="M214" s="10">
        <v>0</v>
      </c>
      <c r="N214" s="548">
        <v>0</v>
      </c>
      <c r="P214" s="277" t="str">
        <f>IF(Contents!$B$2=2,"Yes","Да")</f>
        <v>Да</v>
      </c>
      <c r="Q214" s="511"/>
      <c r="R214" s="297" t="s">
        <v>105</v>
      </c>
      <c r="S214" s="56"/>
      <c r="T214" s="56"/>
      <c r="U214" s="60"/>
      <c r="V214" s="56"/>
      <c r="W214" s="277">
        <v>2</v>
      </c>
      <c r="X214" s="297"/>
      <c r="Y214" s="56"/>
      <c r="AA214" s="585"/>
    </row>
    <row r="215" spans="1:27">
      <c r="B215" s="301"/>
      <c r="C215" s="301"/>
      <c r="D215" s="301"/>
      <c r="E215" s="301"/>
      <c r="F215" s="301"/>
      <c r="G215" s="301"/>
      <c r="H215" s="301"/>
      <c r="I215" s="301"/>
      <c r="J215" s="301"/>
      <c r="K215" s="301"/>
      <c r="L215" s="301"/>
      <c r="M215" s="301"/>
      <c r="N215" s="301"/>
      <c r="P215" s="273"/>
      <c r="Q215" s="511"/>
      <c r="R215" s="273"/>
      <c r="S215" s="273"/>
      <c r="T215" s="273"/>
      <c r="U215" s="613"/>
      <c r="V215" s="273"/>
      <c r="W215" s="273"/>
      <c r="X215" s="273"/>
      <c r="Y215" s="273"/>
      <c r="AA215" s="585"/>
    </row>
    <row r="216" spans="1:27">
      <c r="A216" s="116"/>
      <c r="B216" s="274" t="str">
        <f>IF(Contents!$B$2=2,"Produced water","Пластовые воды")</f>
        <v>Пластовые воды</v>
      </c>
      <c r="C216" s="42"/>
      <c r="D216" s="247"/>
      <c r="E216" s="247"/>
      <c r="F216" s="247"/>
      <c r="G216" s="247"/>
      <c r="H216" s="247"/>
      <c r="I216" s="275"/>
      <c r="J216" s="275"/>
      <c r="K216" s="275"/>
      <c r="L216" s="275"/>
      <c r="M216" s="275"/>
      <c r="N216" s="275"/>
      <c r="P216" s="277"/>
      <c r="Q216" s="511"/>
      <c r="R216" s="273"/>
      <c r="S216" s="273"/>
      <c r="T216" s="273"/>
      <c r="U216" s="613"/>
      <c r="V216" s="273"/>
      <c r="W216" s="277"/>
      <c r="X216" s="308"/>
      <c r="Y216" s="273"/>
      <c r="AA216" s="585"/>
    </row>
    <row r="217" spans="1:27">
      <c r="A217" s="116"/>
      <c r="B217" s="52" t="str">
        <f>IF(Contents!$B$2=2,"Volume of formation of produced water","Объем образования пластовой воды")</f>
        <v>Объем образования пластовой воды</v>
      </c>
      <c r="C217" s="12" t="str">
        <f>IF(Contents!$B$2=2,"th. cubic meters","тыс. куб. м")</f>
        <v>тыс. куб. м</v>
      </c>
      <c r="D217" s="221" t="s">
        <v>185</v>
      </c>
      <c r="E217" s="221" t="s">
        <v>185</v>
      </c>
      <c r="F217" s="221" t="s">
        <v>185</v>
      </c>
      <c r="G217" s="221" t="s">
        <v>185</v>
      </c>
      <c r="H217" s="293">
        <v>7562</v>
      </c>
      <c r="I217" s="293">
        <v>7842</v>
      </c>
      <c r="J217" s="293">
        <v>7635</v>
      </c>
      <c r="K217" s="293">
        <v>7579</v>
      </c>
      <c r="L217" s="293">
        <v>7785</v>
      </c>
      <c r="M217" s="293">
        <v>7700</v>
      </c>
      <c r="N217" s="828">
        <v>8135</v>
      </c>
      <c r="O217" s="876"/>
      <c r="P217" s="277" t="str">
        <f>IF(Contents!$B$2=2,"Yes","Да")</f>
        <v>Да</v>
      </c>
      <c r="Q217" s="511"/>
      <c r="R217" s="297"/>
      <c r="S217" s="297" t="s">
        <v>108</v>
      </c>
      <c r="T217" s="297"/>
      <c r="U217" s="299"/>
      <c r="V217" s="297"/>
      <c r="W217" s="277">
        <v>1</v>
      </c>
      <c r="X217" s="297"/>
      <c r="Y217" s="297"/>
      <c r="Z217" s="617"/>
      <c r="AA217" s="585"/>
    </row>
    <row r="218" spans="1:27">
      <c r="A218" s="116"/>
      <c r="B218" s="23" t="str">
        <f>IF(Contents!$B$2=2,"by source","по источникам образования")</f>
        <v>по источникам образования</v>
      </c>
      <c r="C218" s="339"/>
      <c r="D218" s="304"/>
      <c r="E218" s="304"/>
      <c r="F218" s="304"/>
      <c r="G218" s="304"/>
      <c r="H218" s="304"/>
      <c r="I218" s="304"/>
      <c r="J218" s="340"/>
      <c r="K218" s="340"/>
      <c r="L218" s="340"/>
      <c r="M218" s="340"/>
      <c r="N218" s="341"/>
      <c r="P218" s="926"/>
      <c r="Q218" s="511"/>
      <c r="R218" s="297"/>
      <c r="S218" s="297" t="s">
        <v>108</v>
      </c>
      <c r="T218" s="297"/>
      <c r="U218" s="299"/>
      <c r="V218" s="297"/>
      <c r="W218" s="297"/>
      <c r="X218" s="297"/>
      <c r="Y218" s="297"/>
      <c r="Z218" s="617"/>
      <c r="AA218" s="585"/>
    </row>
    <row r="219" spans="1:27">
      <c r="A219" s="116"/>
      <c r="B219" s="11" t="str">
        <f>IF(Contents!$B$2=2,"from production wells","из эксплуатационных скважин")</f>
        <v>из эксплуатационных скважин</v>
      </c>
      <c r="C219" s="12" t="str">
        <f>IF(Contents!$B$2=2,"th. cubic meters","тыс. куб. м")</f>
        <v>тыс. куб. м</v>
      </c>
      <c r="D219" s="221" t="s">
        <v>185</v>
      </c>
      <c r="E219" s="221" t="s">
        <v>185</v>
      </c>
      <c r="F219" s="221" t="s">
        <v>185</v>
      </c>
      <c r="G219" s="221" t="s">
        <v>185</v>
      </c>
      <c r="H219" s="221" t="s">
        <v>185</v>
      </c>
      <c r="I219" s="221" t="s">
        <v>185</v>
      </c>
      <c r="J219" s="213">
        <v>5582</v>
      </c>
      <c r="K219" s="213">
        <v>5993</v>
      </c>
      <c r="L219" s="213">
        <v>6367</v>
      </c>
      <c r="M219" s="213">
        <v>6702</v>
      </c>
      <c r="N219" s="347">
        <v>6776</v>
      </c>
      <c r="P219" s="277" t="str">
        <f>IF(Contents!$B$2=2,"Yes","Да")</f>
        <v>Да</v>
      </c>
      <c r="Q219" s="511"/>
      <c r="R219" s="273"/>
      <c r="S219" s="273"/>
      <c r="T219" s="273"/>
      <c r="U219" s="625"/>
      <c r="V219" s="273"/>
      <c r="W219" s="277">
        <v>1</v>
      </c>
      <c r="X219" s="297"/>
      <c r="Y219" s="273"/>
      <c r="AA219" s="585"/>
    </row>
    <row r="220" spans="1:27">
      <c r="A220" s="116"/>
      <c r="B220" s="11" t="str">
        <f>IF(Contents!$B$2=2,"from water wells","из водозаборных скважин")</f>
        <v>из водозаборных скважин</v>
      </c>
      <c r="C220" s="12" t="str">
        <f>IF(Contents!$B$2=2,"th. cubic meters","тыс. куб. м")</f>
        <v>тыс. куб. м</v>
      </c>
      <c r="D220" s="221" t="s">
        <v>185</v>
      </c>
      <c r="E220" s="221" t="s">
        <v>185</v>
      </c>
      <c r="F220" s="221" t="s">
        <v>185</v>
      </c>
      <c r="G220" s="221" t="s">
        <v>185</v>
      </c>
      <c r="H220" s="221" t="s">
        <v>185</v>
      </c>
      <c r="I220" s="221" t="s">
        <v>185</v>
      </c>
      <c r="J220" s="662">
        <v>2053</v>
      </c>
      <c r="K220" s="662">
        <v>1586</v>
      </c>
      <c r="L220" s="662">
        <v>1418</v>
      </c>
      <c r="M220" s="662">
        <v>998</v>
      </c>
      <c r="N220" s="791">
        <v>1359</v>
      </c>
      <c r="P220" s="277" t="str">
        <f>IF(Contents!$B$2=2,"Yes","Да")</f>
        <v>Да</v>
      </c>
      <c r="Q220" s="511"/>
      <c r="R220" s="273"/>
      <c r="S220" s="273"/>
      <c r="T220" s="273"/>
      <c r="U220" s="625"/>
      <c r="V220" s="273"/>
      <c r="W220" s="277">
        <v>1</v>
      </c>
      <c r="X220" s="297"/>
      <c r="Y220" s="273"/>
      <c r="AA220" s="585"/>
    </row>
    <row r="221" spans="1:27">
      <c r="A221" s="116"/>
      <c r="B221" s="23" t="str">
        <f>IF(Contents!$B$2=2,"by method of treatment","по способам обращения")</f>
        <v>по способам обращения</v>
      </c>
      <c r="C221" s="339"/>
      <c r="D221" s="304"/>
      <c r="E221" s="304"/>
      <c r="F221" s="304"/>
      <c r="G221" s="304"/>
      <c r="H221" s="304"/>
      <c r="I221" s="304"/>
      <c r="J221" s="340"/>
      <c r="K221" s="340"/>
      <c r="L221" s="340"/>
      <c r="M221" s="340"/>
      <c r="N221" s="341"/>
      <c r="P221" s="926"/>
      <c r="Q221" s="511"/>
      <c r="R221" s="297"/>
      <c r="S221" s="297" t="s">
        <v>108</v>
      </c>
      <c r="T221" s="297"/>
      <c r="U221" s="299"/>
      <c r="V221" s="297"/>
      <c r="W221" s="297"/>
      <c r="X221" s="297"/>
      <c r="Y221" s="297"/>
      <c r="Z221" s="617"/>
      <c r="AA221" s="585"/>
    </row>
    <row r="222" spans="1:27" ht="25.5" customHeight="1">
      <c r="B222" s="342" t="str">
        <f>IF(Contents!$B$2=2,"Discharged","Отводимая вода")</f>
        <v>Отводимая вода</v>
      </c>
      <c r="C222" s="12" t="s">
        <v>0</v>
      </c>
      <c r="D222" s="221" t="s">
        <v>185</v>
      </c>
      <c r="E222" s="221" t="s">
        <v>185</v>
      </c>
      <c r="F222" s="221" t="s">
        <v>185</v>
      </c>
      <c r="G222" s="221" t="s">
        <v>185</v>
      </c>
      <c r="H222" s="293">
        <v>24</v>
      </c>
      <c r="I222" s="293">
        <v>29</v>
      </c>
      <c r="J222" s="293">
        <v>37</v>
      </c>
      <c r="K222" s="293">
        <v>37</v>
      </c>
      <c r="L222" s="293">
        <v>37</v>
      </c>
      <c r="M222" s="293">
        <v>39</v>
      </c>
      <c r="N222" s="828">
        <v>32</v>
      </c>
      <c r="O222" s="891"/>
      <c r="P222" s="277" t="str">
        <f>IF(Contents!$B$2=2,"Yes","Да")</f>
        <v>Да</v>
      </c>
      <c r="Q222" s="511"/>
      <c r="R222" s="273"/>
      <c r="S222" s="273"/>
      <c r="T222" s="273"/>
      <c r="U222" s="626"/>
      <c r="V222" s="273"/>
      <c r="W222" s="277">
        <v>1</v>
      </c>
      <c r="X222" s="297"/>
      <c r="Y222" s="273"/>
      <c r="AA222" s="585"/>
    </row>
    <row r="223" spans="1:27" ht="21.95" customHeight="1">
      <c r="B223" s="11" t="str">
        <f>IF(Contents!$B$2=2,"Reinjected","Повторно закачиваемая вода")</f>
        <v>Повторно закачиваемая вода</v>
      </c>
      <c r="C223" s="12" t="s">
        <v>0</v>
      </c>
      <c r="D223" s="221" t="s">
        <v>185</v>
      </c>
      <c r="E223" s="221" t="s">
        <v>185</v>
      </c>
      <c r="F223" s="221" t="s">
        <v>185</v>
      </c>
      <c r="G223" s="221" t="s">
        <v>185</v>
      </c>
      <c r="H223" s="293">
        <v>76</v>
      </c>
      <c r="I223" s="293">
        <v>71</v>
      </c>
      <c r="J223" s="293">
        <v>63</v>
      </c>
      <c r="K223" s="293">
        <v>63</v>
      </c>
      <c r="L223" s="293">
        <v>63</v>
      </c>
      <c r="M223" s="293">
        <v>61</v>
      </c>
      <c r="N223" s="828">
        <v>68</v>
      </c>
      <c r="O223" s="891"/>
      <c r="P223" s="277" t="str">
        <f>IF(Contents!$B$2=2,"Yes","Да")</f>
        <v>Да</v>
      </c>
      <c r="Q223" s="511"/>
      <c r="R223" s="273"/>
      <c r="S223" s="273"/>
      <c r="T223" s="273"/>
      <c r="U223" s="626"/>
      <c r="V223" s="273"/>
      <c r="W223" s="277">
        <v>1</v>
      </c>
      <c r="X223" s="297"/>
      <c r="Y223" s="273"/>
      <c r="AA223" s="585"/>
    </row>
    <row r="224" spans="1:27">
      <c r="B224" s="11" t="str">
        <f>IF(Contents!$B$2=2,"Reused","Повторно используемая вода")</f>
        <v>Повторно используемая вода</v>
      </c>
      <c r="C224" s="12" t="s">
        <v>0</v>
      </c>
      <c r="D224" s="221" t="s">
        <v>185</v>
      </c>
      <c r="E224" s="221" t="s">
        <v>185</v>
      </c>
      <c r="F224" s="221" t="s">
        <v>185</v>
      </c>
      <c r="G224" s="221" t="s">
        <v>185</v>
      </c>
      <c r="H224" s="343">
        <v>0</v>
      </c>
      <c r="I224" s="343">
        <v>0</v>
      </c>
      <c r="J224" s="191">
        <v>0</v>
      </c>
      <c r="K224" s="191">
        <v>0</v>
      </c>
      <c r="L224" s="191">
        <v>0</v>
      </c>
      <c r="M224" s="191">
        <v>0</v>
      </c>
      <c r="N224" s="279">
        <v>0</v>
      </c>
      <c r="P224" s="277" t="str">
        <f>IF(Contents!$B$2=2,"Yes","Да")</f>
        <v>Да</v>
      </c>
      <c r="Q224" s="511"/>
      <c r="R224" s="273"/>
      <c r="S224" s="273"/>
      <c r="T224" s="273"/>
      <c r="U224" s="626"/>
      <c r="V224" s="273"/>
      <c r="W224" s="277">
        <v>1</v>
      </c>
      <c r="X224" s="297"/>
      <c r="Y224" s="273"/>
      <c r="AA224" s="585"/>
    </row>
    <row r="225" spans="1:27">
      <c r="A225" s="116"/>
      <c r="B225" s="342" t="str">
        <f>IF(Contents!$B$2=2,"Produced water used in the reservoir pressure maintenance system","Пластовая вода, используемая для поддержания пластового давления")</f>
        <v>Пластовая вода, используемая для поддержания пластового давления</v>
      </c>
      <c r="C225" s="12" t="str">
        <f>IF(Contents!$B$2=2,"th. cubic meters","тыс. куб. м")</f>
        <v>тыс. куб. м</v>
      </c>
      <c r="D225" s="221" t="s">
        <v>185</v>
      </c>
      <c r="E225" s="221" t="s">
        <v>185</v>
      </c>
      <c r="F225" s="221" t="s">
        <v>185</v>
      </c>
      <c r="G225" s="221" t="s">
        <v>185</v>
      </c>
      <c r="H225" s="667">
        <v>5716</v>
      </c>
      <c r="I225" s="667">
        <v>5538</v>
      </c>
      <c r="J225" s="667">
        <v>4827</v>
      </c>
      <c r="K225" s="667">
        <v>4777</v>
      </c>
      <c r="L225" s="667">
        <v>4905</v>
      </c>
      <c r="M225" s="667">
        <v>4684</v>
      </c>
      <c r="N225" s="668">
        <v>5511</v>
      </c>
      <c r="O225" s="876"/>
      <c r="P225" s="277" t="str">
        <f>IF(Contents!$B$2=2,"Yes","Да")</f>
        <v>Да</v>
      </c>
      <c r="Q225" s="511"/>
      <c r="R225" s="297"/>
      <c r="S225" s="297"/>
      <c r="T225" s="297"/>
      <c r="U225" s="299"/>
      <c r="V225" s="297"/>
      <c r="W225" s="277">
        <v>1</v>
      </c>
      <c r="X225" s="297"/>
      <c r="Y225" s="297"/>
      <c r="Z225" s="617"/>
      <c r="AA225" s="585"/>
    </row>
    <row r="226" spans="1:27">
      <c r="B226" s="344"/>
      <c r="C226" s="12"/>
      <c r="D226" s="221"/>
      <c r="E226" s="221"/>
      <c r="F226" s="221"/>
      <c r="G226" s="221"/>
      <c r="H226" s="62"/>
      <c r="I226" s="62"/>
      <c r="J226" s="62"/>
      <c r="K226" s="62"/>
      <c r="L226" s="62"/>
      <c r="M226" s="62"/>
      <c r="N226" s="62"/>
      <c r="AA226" s="585"/>
    </row>
    <row r="227" spans="1:27" ht="20.100000000000001" customHeight="1">
      <c r="B227" s="345" t="str">
        <f>IF(Contents!$B$2=2,"Biodiversity conservation","Сохранение биоразнообразия")</f>
        <v>Сохранение биоразнообразия</v>
      </c>
      <c r="C227" s="272"/>
      <c r="D227" s="272"/>
      <c r="E227" s="272"/>
      <c r="F227" s="272"/>
      <c r="G227" s="272"/>
      <c r="H227" s="272"/>
      <c r="I227" s="272"/>
      <c r="J227" s="272"/>
      <c r="K227" s="272"/>
      <c r="L227" s="272"/>
      <c r="M227" s="272"/>
      <c r="N227" s="272"/>
      <c r="R227" s="273"/>
      <c r="S227" s="273"/>
      <c r="T227" s="273"/>
      <c r="AA227" s="585"/>
    </row>
    <row r="228" spans="1:27" ht="75.95" customHeight="1">
      <c r="B228" s="291" t="str">
        <f>IF(Contents!$B$2=2,"number of IUCN Red List species and the National List of Protected Species with habitats in areas, affected by the activities of the organization","Количество видов, занесенных в красный список МСОП и национальный список охраняемых видов, местообитания которых находятся на территории,  находящейся под влиянием деятельности организации")</f>
        <v>Количество видов, занесенных в красный список МСОП и национальный список охраняемых видов, местообитания которых находятся на территории,  находящейся под влиянием деятельности организации</v>
      </c>
      <c r="C228" s="327" t="str">
        <f>IF(Contents!$B$2=2,"species","вид")</f>
        <v>вид</v>
      </c>
      <c r="D228" s="329" t="s">
        <v>185</v>
      </c>
      <c r="E228" s="329" t="s">
        <v>185</v>
      </c>
      <c r="F228" s="329" t="s">
        <v>185</v>
      </c>
      <c r="G228" s="329" t="s">
        <v>185</v>
      </c>
      <c r="H228" s="329" t="s">
        <v>185</v>
      </c>
      <c r="I228" s="329" t="s">
        <v>185</v>
      </c>
      <c r="J228" s="329" t="s">
        <v>185</v>
      </c>
      <c r="K228" s="247">
        <v>100</v>
      </c>
      <c r="L228" s="247">
        <v>174</v>
      </c>
      <c r="M228" s="247">
        <v>93</v>
      </c>
      <c r="N228" s="247">
        <v>99</v>
      </c>
      <c r="O228" s="869"/>
      <c r="P228" s="277" t="str">
        <f>IF(Contents!$B$2=2,"Yes","Да")</f>
        <v>Да</v>
      </c>
      <c r="Q228" s="511"/>
      <c r="R228" s="346" t="s">
        <v>109</v>
      </c>
      <c r="S228" s="273"/>
      <c r="T228" s="273"/>
      <c r="U228" s="273"/>
      <c r="V228" s="273"/>
      <c r="W228" s="277">
        <v>1</v>
      </c>
      <c r="X228" s="297"/>
      <c r="Y228" s="273"/>
      <c r="AA228" s="585"/>
    </row>
    <row r="229" spans="1:27">
      <c r="A229" s="116"/>
      <c r="B229" s="23" t="str">
        <f>IF(Contents!$B$2=2,"by vulnerability of species","по уязвимости видов")</f>
        <v>по уязвимости видов</v>
      </c>
      <c r="C229" s="339"/>
      <c r="D229" s="304"/>
      <c r="E229" s="304"/>
      <c r="F229" s="304"/>
      <c r="G229" s="304"/>
      <c r="H229" s="304"/>
      <c r="I229" s="304"/>
      <c r="J229" s="340"/>
      <c r="K229" s="340"/>
      <c r="L229" s="340"/>
      <c r="M229" s="340"/>
      <c r="N229" s="341"/>
      <c r="P229" s="926"/>
      <c r="Q229" s="511"/>
      <c r="R229" s="297"/>
      <c r="S229" s="297"/>
      <c r="T229" s="297"/>
      <c r="U229" s="299"/>
      <c r="V229" s="297"/>
      <c r="W229" s="297"/>
      <c r="X229" s="297"/>
      <c r="Y229" s="297"/>
      <c r="Z229" s="617"/>
      <c r="AA229" s="585"/>
    </row>
    <row r="230" spans="1:27" ht="18" customHeight="1">
      <c r="B230" s="342" t="s">
        <v>197</v>
      </c>
      <c r="C230" s="76" t="str">
        <f>IF(Contents!$B$2=2,"species","вид")</f>
        <v>вид</v>
      </c>
      <c r="D230" s="221" t="s">
        <v>185</v>
      </c>
      <c r="E230" s="221" t="s">
        <v>185</v>
      </c>
      <c r="F230" s="221" t="s">
        <v>185</v>
      </c>
      <c r="G230" s="221" t="s">
        <v>185</v>
      </c>
      <c r="H230" s="221" t="s">
        <v>185</v>
      </c>
      <c r="I230" s="221" t="s">
        <v>185</v>
      </c>
      <c r="J230" s="221" t="s">
        <v>185</v>
      </c>
      <c r="K230" s="213">
        <v>0</v>
      </c>
      <c r="L230" s="213">
        <v>0</v>
      </c>
      <c r="M230" s="213">
        <v>0</v>
      </c>
      <c r="N230" s="347">
        <v>2</v>
      </c>
      <c r="O230" s="879"/>
      <c r="P230" s="277"/>
      <c r="Q230" s="511"/>
      <c r="R230" s="348"/>
      <c r="S230" s="273"/>
      <c r="T230" s="273"/>
      <c r="U230" s="273"/>
      <c r="V230" s="297"/>
      <c r="W230" s="277">
        <v>1</v>
      </c>
      <c r="X230" s="297"/>
      <c r="Y230" s="297"/>
      <c r="AA230" s="585"/>
    </row>
    <row r="231" spans="1:27" ht="24" customHeight="1">
      <c r="B231" s="342" t="str">
        <f>IF(Contents!$B$2=2,"Vulnerable","Уязвимые")</f>
        <v>Уязвимые</v>
      </c>
      <c r="C231" s="76" t="str">
        <f>IF(Contents!$B$2=2,"species","вид")</f>
        <v>вид</v>
      </c>
      <c r="D231" s="221" t="s">
        <v>185</v>
      </c>
      <c r="E231" s="221" t="s">
        <v>185</v>
      </c>
      <c r="F231" s="221" t="s">
        <v>185</v>
      </c>
      <c r="G231" s="221" t="s">
        <v>185</v>
      </c>
      <c r="H231" s="221" t="s">
        <v>185</v>
      </c>
      <c r="I231" s="221" t="s">
        <v>185</v>
      </c>
      <c r="J231" s="221" t="s">
        <v>185</v>
      </c>
      <c r="K231" s="213">
        <v>5</v>
      </c>
      <c r="L231" s="213">
        <v>4</v>
      </c>
      <c r="M231" s="213">
        <v>5</v>
      </c>
      <c r="N231" s="347">
        <v>3</v>
      </c>
      <c r="O231" s="879"/>
      <c r="P231" s="277" t="str">
        <f>IF(Contents!$B$2=2,"Yes","Да")</f>
        <v>Да</v>
      </c>
      <c r="Q231" s="511"/>
      <c r="R231" s="348"/>
      <c r="S231" s="273"/>
      <c r="T231" s="273"/>
      <c r="U231" s="273"/>
      <c r="V231" s="297"/>
      <c r="W231" s="277">
        <v>1</v>
      </c>
      <c r="X231" s="297"/>
      <c r="Y231" s="297"/>
      <c r="AA231" s="585"/>
    </row>
    <row r="232" spans="1:27" ht="27" customHeight="1">
      <c r="B232" s="11" t="str">
        <f>IF(Contents!$B$2=2,"Near Threatened","Близки к уязвимому положению")</f>
        <v>Близки к уязвимому положению</v>
      </c>
      <c r="C232" s="76" t="str">
        <f>IF(Contents!$B$2=2,"species","вид")</f>
        <v>вид</v>
      </c>
      <c r="D232" s="221" t="s">
        <v>185</v>
      </c>
      <c r="E232" s="221" t="s">
        <v>185</v>
      </c>
      <c r="F232" s="221" t="s">
        <v>185</v>
      </c>
      <c r="G232" s="221" t="s">
        <v>185</v>
      </c>
      <c r="H232" s="221" t="s">
        <v>185</v>
      </c>
      <c r="I232" s="221" t="s">
        <v>185</v>
      </c>
      <c r="J232" s="221" t="s">
        <v>185</v>
      </c>
      <c r="K232" s="213">
        <v>5</v>
      </c>
      <c r="L232" s="213">
        <v>5</v>
      </c>
      <c r="M232" s="213">
        <v>2</v>
      </c>
      <c r="N232" s="347">
        <v>3</v>
      </c>
      <c r="O232" s="879"/>
      <c r="P232" s="277" t="str">
        <f>IF(Contents!$B$2=2,"Yes","Да")</f>
        <v>Да</v>
      </c>
      <c r="Q232" s="511"/>
      <c r="R232" s="348"/>
      <c r="S232" s="273"/>
      <c r="T232" s="273"/>
      <c r="U232" s="273"/>
      <c r="V232" s="297"/>
      <c r="W232" s="277">
        <v>1</v>
      </c>
      <c r="X232" s="297"/>
      <c r="Y232" s="297"/>
      <c r="AA232" s="585"/>
    </row>
    <row r="233" spans="1:27" ht="26.1" customHeight="1">
      <c r="B233" s="11" t="str">
        <f>IF(Contents!$B$2=2,"Least concern","Находящиеся под наименьшей угрозой")</f>
        <v>Находящиеся под наименьшей угрозой</v>
      </c>
      <c r="C233" s="76" t="str">
        <f>IF(Contents!$B$2=2,"species","вид")</f>
        <v>вид</v>
      </c>
      <c r="D233" s="221" t="s">
        <v>185</v>
      </c>
      <c r="E233" s="221" t="s">
        <v>185</v>
      </c>
      <c r="F233" s="221" t="s">
        <v>185</v>
      </c>
      <c r="G233" s="221" t="s">
        <v>185</v>
      </c>
      <c r="H233" s="221" t="s">
        <v>185</v>
      </c>
      <c r="I233" s="221" t="s">
        <v>185</v>
      </c>
      <c r="J233" s="221" t="s">
        <v>185</v>
      </c>
      <c r="K233" s="213">
        <v>90</v>
      </c>
      <c r="L233" s="213">
        <v>165</v>
      </c>
      <c r="M233" s="213">
        <v>86</v>
      </c>
      <c r="N233" s="347">
        <v>91</v>
      </c>
      <c r="O233" s="879"/>
      <c r="P233" s="277" t="str">
        <f>IF(Contents!$B$2=2,"Yes","Да")</f>
        <v>Да</v>
      </c>
      <c r="Q233" s="511"/>
      <c r="R233" s="348"/>
      <c r="S233" s="273"/>
      <c r="T233" s="273"/>
      <c r="U233" s="273"/>
      <c r="V233" s="297"/>
      <c r="W233" s="277">
        <v>1</v>
      </c>
      <c r="X233" s="297"/>
      <c r="Y233" s="297"/>
      <c r="AA233" s="585"/>
    </row>
    <row r="234" spans="1:27">
      <c r="B234" s="11"/>
      <c r="C234" s="76"/>
      <c r="D234" s="221"/>
      <c r="E234" s="221"/>
      <c r="F234" s="221"/>
      <c r="G234" s="221"/>
      <c r="H234" s="221"/>
      <c r="I234" s="221"/>
      <c r="J234" s="221"/>
      <c r="K234" s="213"/>
      <c r="L234" s="213"/>
      <c r="M234" s="213"/>
      <c r="N234" s="213"/>
      <c r="P234" s="926"/>
      <c r="R234" s="348"/>
      <c r="S234" s="273"/>
      <c r="T234" s="273"/>
      <c r="U234" s="273"/>
      <c r="V234" s="297"/>
      <c r="W234" s="297"/>
      <c r="X234" s="297"/>
      <c r="Y234" s="297"/>
      <c r="AA234" s="585"/>
    </row>
    <row r="235" spans="1:27">
      <c r="A235" s="116"/>
      <c r="B235" s="274" t="str">
        <f>IF(Contents!$B$2=2,"Compensation activities","Компенсационные мероприятия")</f>
        <v>Компенсационные мероприятия</v>
      </c>
      <c r="C235" s="42"/>
      <c r="D235" s="247"/>
      <c r="E235" s="247"/>
      <c r="F235" s="247"/>
      <c r="G235" s="247"/>
      <c r="H235" s="247"/>
      <c r="I235" s="275"/>
      <c r="J235" s="275"/>
      <c r="K235" s="275"/>
      <c r="L235" s="275"/>
      <c r="M235" s="275"/>
      <c r="N235" s="275"/>
      <c r="P235" s="273"/>
      <c r="R235" s="273"/>
      <c r="S235" s="273"/>
      <c r="T235" s="273"/>
      <c r="U235" s="613"/>
      <c r="V235" s="273"/>
      <c r="W235" s="273"/>
      <c r="X235" s="273"/>
      <c r="Y235" s="273"/>
      <c r="AA235" s="585"/>
    </row>
    <row r="236" spans="1:27" ht="38.25">
      <c r="B236" s="342" t="str">
        <f>IF(Contents!$B$2=2,"Compensatory reforestation","Компенсационное лесовосстановление")</f>
        <v>Компенсационное лесовосстановление</v>
      </c>
      <c r="C236" s="76" t="str">
        <f>IF(Contents!$B$2=2,"ha","га")</f>
        <v>га</v>
      </c>
      <c r="D236" s="10" t="s">
        <v>185</v>
      </c>
      <c r="E236" s="10" t="s">
        <v>185</v>
      </c>
      <c r="F236" s="10" t="s">
        <v>185</v>
      </c>
      <c r="G236" s="10" t="s">
        <v>185</v>
      </c>
      <c r="H236" s="10" t="s">
        <v>185</v>
      </c>
      <c r="I236" s="349">
        <v>120</v>
      </c>
      <c r="J236" s="213">
        <v>604</v>
      </c>
      <c r="K236" s="213">
        <v>66</v>
      </c>
      <c r="L236" s="213">
        <v>46</v>
      </c>
      <c r="M236" s="213">
        <v>293</v>
      </c>
      <c r="N236" s="347">
        <v>49</v>
      </c>
      <c r="O236" s="889"/>
      <c r="P236" s="277" t="str">
        <f>IF(Contents!$B$2=2,"Yes","Да")</f>
        <v>Да</v>
      </c>
      <c r="Q236" s="511"/>
      <c r="R236" s="346" t="s">
        <v>110</v>
      </c>
      <c r="S236" s="273"/>
      <c r="T236" s="273"/>
      <c r="U236" s="273"/>
      <c r="V236" s="297"/>
      <c r="W236" s="277">
        <v>2</v>
      </c>
      <c r="X236" s="308"/>
      <c r="Y236" s="297"/>
      <c r="AA236" s="585"/>
    </row>
    <row r="237" spans="1:27" ht="29.45" customHeight="1">
      <c r="B237" s="11" t="str">
        <f>IF(Contents!$B$2=2,"Release of juvenile fish","Выпуск мальков")</f>
        <v>Выпуск мальков</v>
      </c>
      <c r="C237" s="12" t="str">
        <f>IF(Contents!$B$2=2,"mln","млн ед.")</f>
        <v>млн ед.</v>
      </c>
      <c r="D237" s="10" t="s">
        <v>185</v>
      </c>
      <c r="E237" s="10" t="s">
        <v>185</v>
      </c>
      <c r="F237" s="508">
        <v>18</v>
      </c>
      <c r="G237" s="508">
        <v>5</v>
      </c>
      <c r="H237" s="508">
        <v>9</v>
      </c>
      <c r="I237" s="67">
        <v>3</v>
      </c>
      <c r="J237" s="508">
        <v>11</v>
      </c>
      <c r="K237" s="508">
        <v>4</v>
      </c>
      <c r="L237" s="508">
        <v>4.9000000000000004</v>
      </c>
      <c r="M237" s="508">
        <v>5</v>
      </c>
      <c r="N237" s="792">
        <v>2.4</v>
      </c>
      <c r="O237" s="879"/>
      <c r="P237" s="277"/>
      <c r="Q237" s="511"/>
      <c r="R237" s="346"/>
      <c r="S237" s="273"/>
      <c r="T237" s="273"/>
      <c r="U237" s="273"/>
      <c r="V237" s="297"/>
      <c r="W237" s="277">
        <v>1</v>
      </c>
      <c r="X237" s="308"/>
      <c r="Y237" s="297"/>
      <c r="AA237" s="585"/>
    </row>
    <row r="238" spans="1:27">
      <c r="B238" s="350"/>
      <c r="C238" s="12"/>
      <c r="D238" s="58"/>
      <c r="E238" s="58"/>
      <c r="F238" s="58"/>
      <c r="G238" s="58"/>
      <c r="H238" s="58"/>
      <c r="I238" s="58"/>
      <c r="J238" s="58"/>
      <c r="K238" s="58"/>
      <c r="L238" s="58"/>
      <c r="M238" s="58"/>
      <c r="N238" s="58"/>
      <c r="P238" s="56"/>
      <c r="R238" s="56"/>
      <c r="S238" s="56"/>
      <c r="T238" s="56"/>
      <c r="U238" s="60"/>
      <c r="V238" s="56"/>
      <c r="W238" s="56"/>
      <c r="X238" s="56"/>
      <c r="Y238" s="56"/>
      <c r="AA238" s="585"/>
    </row>
    <row r="239" spans="1:27" ht="20.100000000000001" customHeight="1">
      <c r="B239" s="345" t="str">
        <f>IF(Contents!$B$2=2,"Land use and reclamation","Использование и рекультивация земель")</f>
        <v>Использование и рекультивация земель</v>
      </c>
      <c r="C239" s="272"/>
      <c r="D239" s="272"/>
      <c r="E239" s="272"/>
      <c r="F239" s="272"/>
      <c r="G239" s="272"/>
      <c r="H239" s="272"/>
      <c r="I239" s="272"/>
      <c r="J239" s="272"/>
      <c r="K239" s="272"/>
      <c r="L239" s="272"/>
      <c r="M239" s="272"/>
      <c r="N239" s="272"/>
      <c r="R239" s="273"/>
      <c r="S239" s="273"/>
      <c r="T239" s="273"/>
      <c r="AA239" s="585"/>
    </row>
    <row r="240" spans="1:27" ht="21.6" customHeight="1">
      <c r="A240" s="116"/>
      <c r="B240" s="350" t="str">
        <f>IF(Contents!$B$2=2,"Area of disturbed land at the beginning of the year","Площадь нарушенных земель за год")</f>
        <v>Площадь нарушенных земель за год</v>
      </c>
      <c r="C240" s="76" t="str">
        <f>IF(Contents!$B$2=2,"ha","га")</f>
        <v>га</v>
      </c>
      <c r="D240" s="10" t="s">
        <v>185</v>
      </c>
      <c r="E240" s="10" t="s">
        <v>185</v>
      </c>
      <c r="F240" s="10" t="s">
        <v>185</v>
      </c>
      <c r="G240" s="10" t="s">
        <v>185</v>
      </c>
      <c r="H240" s="10" t="s">
        <v>185</v>
      </c>
      <c r="I240" s="10" t="s">
        <v>185</v>
      </c>
      <c r="J240" s="10" t="s">
        <v>185</v>
      </c>
      <c r="K240" s="10" t="s">
        <v>185</v>
      </c>
      <c r="L240" s="213">
        <v>943</v>
      </c>
      <c r="M240" s="213" t="s">
        <v>229</v>
      </c>
      <c r="N240" s="347">
        <v>536</v>
      </c>
      <c r="O240" s="875"/>
      <c r="P240" s="277" t="str">
        <f>IF(Contents!$B$2=2,"Yes","Да")</f>
        <v>Да</v>
      </c>
      <c r="Q240" s="511"/>
      <c r="R240" s="346" t="s">
        <v>230</v>
      </c>
      <c r="S240" s="273"/>
      <c r="T240" s="273"/>
      <c r="U240" s="273"/>
      <c r="V240" s="273"/>
      <c r="W240" s="277">
        <v>2</v>
      </c>
      <c r="X240" s="297"/>
      <c r="Y240" s="273"/>
      <c r="AA240" s="585"/>
    </row>
    <row r="241" spans="1:27" ht="23.45" customHeight="1">
      <c r="A241" s="116"/>
      <c r="B241" s="350" t="str">
        <f>IF(Contents!$B$2=2,"Area of disturbed land per year","Площадь нарушенных земель на конец года")</f>
        <v>Площадь нарушенных земель на конец года</v>
      </c>
      <c r="C241" s="76" t="str">
        <f>IF(Contents!$B$2=2,"ha","га")</f>
        <v>га</v>
      </c>
      <c r="D241" s="10" t="s">
        <v>185</v>
      </c>
      <c r="E241" s="10" t="s">
        <v>185</v>
      </c>
      <c r="F241" s="10" t="s">
        <v>185</v>
      </c>
      <c r="G241" s="10" t="s">
        <v>185</v>
      </c>
      <c r="H241" s="10" t="s">
        <v>185</v>
      </c>
      <c r="I241" s="10" t="s">
        <v>185</v>
      </c>
      <c r="J241" s="10" t="s">
        <v>185</v>
      </c>
      <c r="K241" s="213">
        <v>35448</v>
      </c>
      <c r="L241" s="213">
        <v>32527</v>
      </c>
      <c r="M241" s="213">
        <v>33057</v>
      </c>
      <c r="N241" s="347">
        <v>33995</v>
      </c>
      <c r="O241" s="875"/>
      <c r="P241" s="277" t="str">
        <f>IF(Contents!$B$2=2,"Yes","Да")</f>
        <v>Да</v>
      </c>
      <c r="Q241" s="511"/>
      <c r="R241" s="346" t="s">
        <v>111</v>
      </c>
      <c r="S241" s="273"/>
      <c r="T241" s="273"/>
      <c r="U241" s="273"/>
      <c r="V241" s="273"/>
      <c r="W241" s="277">
        <v>2</v>
      </c>
      <c r="X241" s="297"/>
      <c r="Y241" s="273"/>
      <c r="AA241" s="585"/>
    </row>
    <row r="242" spans="1:27" ht="20.100000000000001" customHeight="1">
      <c r="A242" s="116"/>
      <c r="B242" s="350" t="str">
        <f>IF(Contents!$B$2=2,"Area of reclaimed land for the reporting year","Площадь рекультивированных земель за отчетный год")</f>
        <v>Площадь рекультивированных земель за отчетный год</v>
      </c>
      <c r="C242" s="76" t="str">
        <f>IF(Contents!$B$2=2,"ha","га")</f>
        <v>га</v>
      </c>
      <c r="D242" s="10" t="s">
        <v>185</v>
      </c>
      <c r="E242" s="10" t="s">
        <v>185</v>
      </c>
      <c r="F242" s="10" t="s">
        <v>185</v>
      </c>
      <c r="G242" s="10" t="s">
        <v>185</v>
      </c>
      <c r="H242" s="10" t="s">
        <v>185</v>
      </c>
      <c r="I242" s="10" t="s">
        <v>185</v>
      </c>
      <c r="J242" s="10" t="s">
        <v>185</v>
      </c>
      <c r="K242" s="213">
        <v>137</v>
      </c>
      <c r="L242" s="213">
        <v>404</v>
      </c>
      <c r="M242" s="213">
        <v>188</v>
      </c>
      <c r="N242" s="347">
        <v>204</v>
      </c>
      <c r="O242" s="872"/>
      <c r="P242" s="277" t="str">
        <f>IF(Contents!$B$2=2,"Yes","Да")</f>
        <v>Да</v>
      </c>
      <c r="Q242" s="511"/>
      <c r="R242" s="346" t="s">
        <v>111</v>
      </c>
      <c r="S242" s="273"/>
      <c r="T242" s="273"/>
      <c r="U242" s="273"/>
      <c r="V242" s="273"/>
      <c r="W242" s="277">
        <v>2</v>
      </c>
      <c r="X242" s="308"/>
      <c r="Y242" s="273"/>
      <c r="AA242" s="585"/>
    </row>
    <row r="243" spans="1:27">
      <c r="A243" s="116"/>
      <c r="B243" s="350"/>
      <c r="C243" s="76"/>
      <c r="D243" s="10"/>
      <c r="E243" s="10"/>
      <c r="F243" s="10"/>
      <c r="G243" s="10"/>
      <c r="H243" s="10"/>
      <c r="I243" s="10"/>
      <c r="J243" s="10"/>
      <c r="K243" s="213"/>
      <c r="L243" s="213"/>
      <c r="M243" s="213"/>
      <c r="N243" s="213"/>
      <c r="P243" s="277"/>
      <c r="Q243" s="511"/>
      <c r="R243" s="346"/>
      <c r="S243" s="273"/>
      <c r="T243" s="273"/>
      <c r="U243" s="273"/>
      <c r="V243" s="273"/>
      <c r="W243" s="277"/>
      <c r="X243" s="308"/>
      <c r="Y243" s="273"/>
      <c r="AA243" s="585"/>
    </row>
    <row r="244" spans="1:27">
      <c r="A244" s="116"/>
      <c r="B244" s="859" t="str">
        <f>IF(Contents!$B$2=2,R246,"В Отчете за 2025 год произведен пересчет площади нарушенных и рекультивированных земель на территориях предприятий Компании за 2023, 2024 гг. Расширены границы показателей, добавлены земли, находящиеся в аренде. ")</f>
        <v xml:space="preserve">В Отчете за 2025 год произведен пересчет площади нарушенных и рекультивированных земель на территориях предприятий Компании за 2023, 2024 гг. Расширены границы показателей, добавлены земли, находящиеся в аренде. </v>
      </c>
      <c r="C244" s="352"/>
      <c r="D244" s="352"/>
      <c r="E244" s="352"/>
      <c r="F244" s="352"/>
      <c r="G244" s="352"/>
      <c r="H244" s="353"/>
      <c r="I244" s="352"/>
      <c r="J244" s="352"/>
      <c r="K244" s="352"/>
      <c r="L244" s="352"/>
      <c r="M244" s="352"/>
      <c r="N244" s="352"/>
      <c r="O244" s="352"/>
      <c r="P244" s="627"/>
      <c r="Q244" s="352"/>
      <c r="R244" s="627"/>
      <c r="S244" s="627"/>
      <c r="T244" s="628"/>
      <c r="U244" s="627"/>
      <c r="V244" s="627"/>
      <c r="W244" s="627"/>
      <c r="X244" s="627"/>
      <c r="Y244" s="627"/>
      <c r="Z244" s="605"/>
      <c r="AA244" s="585"/>
    </row>
    <row r="245" spans="1:27">
      <c r="A245" s="116"/>
      <c r="C245" s="253"/>
      <c r="H245" s="255"/>
      <c r="I245" s="253"/>
      <c r="T245" s="607"/>
      <c r="U245" s="606"/>
      <c r="V245" s="56"/>
      <c r="W245" s="56"/>
      <c r="X245" s="598"/>
      <c r="AA245" s="585"/>
    </row>
    <row r="246" spans="1:27">
      <c r="A246" s="354"/>
      <c r="B246" s="141" t="str">
        <f>IF(Contents!$B$2=2,"For more information, see the Sustainable Development Reports for 2020-2025 (the Environment chapter).","Для получения дополнительной информации см. Отчеты об устойчивом развитии за 2020-2025 гг. (глава «Окружающая среда»).")</f>
        <v>Для получения дополнительной информации см. Отчеты об устойчивом развитии за 2020-2025 гг. (глава «Окружающая среда»).</v>
      </c>
      <c r="C246" s="253"/>
      <c r="H246" s="255"/>
      <c r="I246" s="253"/>
      <c r="N246" s="672"/>
      <c r="R246" s="858" t="s">
        <v>231</v>
      </c>
      <c r="T246" s="607"/>
      <c r="U246" s="606"/>
      <c r="V246" s="56"/>
      <c r="W246" s="56"/>
      <c r="X246" s="598"/>
      <c r="AA246" s="585"/>
    </row>
    <row r="247" spans="1:27">
      <c r="AA247" s="585"/>
    </row>
    <row r="248" spans="1:27">
      <c r="AA248" s="585"/>
    </row>
    <row r="249" spans="1:27">
      <c r="AA249" s="585"/>
    </row>
    <row r="250" spans="1:27">
      <c r="B250" s="355"/>
      <c r="AA250" s="585"/>
    </row>
    <row r="251" spans="1:27">
      <c r="B251" s="355" t="s">
        <v>112</v>
      </c>
      <c r="AA251" s="585"/>
    </row>
    <row r="252" spans="1:27">
      <c r="B252" s="355" t="s">
        <v>113</v>
      </c>
      <c r="AA252" s="585"/>
    </row>
    <row r="253" spans="1:27">
      <c r="A253" s="43"/>
      <c r="B253" s="355"/>
      <c r="C253" s="43"/>
      <c r="D253" s="43"/>
      <c r="E253" s="43"/>
      <c r="F253" s="43"/>
      <c r="G253" s="43"/>
      <c r="H253" s="43"/>
      <c r="I253" s="43"/>
      <c r="J253" s="43"/>
      <c r="K253" s="43"/>
      <c r="L253" s="43"/>
      <c r="M253" s="43"/>
      <c r="N253" s="43"/>
      <c r="O253" s="43"/>
      <c r="Q253" s="43"/>
      <c r="U253" s="606"/>
      <c r="AA253" s="585"/>
    </row>
    <row r="254" spans="1:27">
      <c r="A254" s="43"/>
      <c r="B254" s="355" t="s">
        <v>114</v>
      </c>
      <c r="C254" s="43"/>
      <c r="D254" s="43"/>
      <c r="E254" s="43"/>
      <c r="F254" s="43"/>
      <c r="G254" s="43"/>
      <c r="H254" s="43"/>
      <c r="I254" s="43"/>
      <c r="J254" s="43"/>
      <c r="K254" s="43"/>
      <c r="L254" s="43"/>
      <c r="M254" s="43"/>
      <c r="N254" s="43"/>
      <c r="O254" s="43"/>
      <c r="Q254" s="43"/>
      <c r="U254" s="606"/>
      <c r="AA254" s="585"/>
    </row>
    <row r="255" spans="1:27">
      <c r="A255" s="43"/>
      <c r="B255" s="355" t="s">
        <v>115</v>
      </c>
      <c r="C255" s="43"/>
      <c r="D255" s="43"/>
      <c r="E255" s="43"/>
      <c r="F255" s="43"/>
      <c r="G255" s="43"/>
      <c r="H255" s="43"/>
      <c r="I255" s="43"/>
      <c r="J255" s="43"/>
      <c r="K255" s="43"/>
      <c r="L255" s="43"/>
      <c r="M255" s="43"/>
      <c r="N255" s="43"/>
      <c r="O255" s="43"/>
      <c r="Q255" s="43"/>
      <c r="U255" s="606"/>
      <c r="AA255" s="585"/>
    </row>
    <row r="256" spans="1:27">
      <c r="A256" s="43"/>
      <c r="B256" s="355"/>
      <c r="C256" s="43"/>
      <c r="D256" s="43"/>
      <c r="E256" s="43"/>
      <c r="F256" s="43"/>
      <c r="G256" s="43"/>
      <c r="H256" s="43"/>
      <c r="I256" s="43"/>
      <c r="J256" s="43"/>
      <c r="K256" s="43"/>
      <c r="L256" s="43"/>
      <c r="M256" s="43"/>
      <c r="N256" s="43"/>
      <c r="O256" s="43"/>
      <c r="Q256" s="43"/>
      <c r="U256" s="606"/>
      <c r="AA256" s="585"/>
    </row>
    <row r="257" spans="1:27">
      <c r="A257" s="43"/>
      <c r="B257" s="355" t="s">
        <v>116</v>
      </c>
      <c r="C257" s="43"/>
      <c r="D257" s="43"/>
      <c r="E257" s="43"/>
      <c r="F257" s="43"/>
      <c r="G257" s="43"/>
      <c r="H257" s="43"/>
      <c r="I257" s="43"/>
      <c r="J257" s="43"/>
      <c r="K257" s="43"/>
      <c r="L257" s="43"/>
      <c r="M257" s="43"/>
      <c r="N257" s="43"/>
      <c r="O257" s="43"/>
      <c r="Q257" s="43"/>
      <c r="U257" s="606"/>
      <c r="AA257" s="585"/>
    </row>
    <row r="258" spans="1:27">
      <c r="A258" s="43"/>
      <c r="B258" s="355" t="s">
        <v>117</v>
      </c>
      <c r="C258" s="43"/>
      <c r="D258" s="43"/>
      <c r="E258" s="43"/>
      <c r="F258" s="43"/>
      <c r="G258" s="43"/>
      <c r="H258" s="43"/>
      <c r="I258" s="43"/>
      <c r="J258" s="43"/>
      <c r="K258" s="43"/>
      <c r="L258" s="43"/>
      <c r="M258" s="43"/>
      <c r="N258" s="43"/>
      <c r="O258" s="43"/>
      <c r="Q258" s="43"/>
      <c r="U258" s="606"/>
      <c r="AA258" s="585"/>
    </row>
    <row r="259" spans="1:27">
      <c r="A259" s="43"/>
      <c r="B259" s="355"/>
      <c r="C259" s="43"/>
      <c r="D259" s="43"/>
      <c r="E259" s="43"/>
      <c r="F259" s="43"/>
      <c r="G259" s="43"/>
      <c r="H259" s="43"/>
      <c r="I259" s="43"/>
      <c r="J259" s="43"/>
      <c r="K259" s="43"/>
      <c r="L259" s="43"/>
      <c r="M259" s="43"/>
      <c r="N259" s="43"/>
      <c r="O259" s="43"/>
      <c r="Q259" s="43"/>
      <c r="U259" s="606"/>
      <c r="AA259" s="585"/>
    </row>
    <row r="260" spans="1:27">
      <c r="A260" s="43"/>
      <c r="B260" s="355" t="s">
        <v>118</v>
      </c>
      <c r="C260" s="43"/>
      <c r="D260" s="43"/>
      <c r="E260" s="43"/>
      <c r="F260" s="43"/>
      <c r="G260" s="43"/>
      <c r="H260" s="43"/>
      <c r="I260" s="43"/>
      <c r="J260" s="43"/>
      <c r="K260" s="43"/>
      <c r="L260" s="43"/>
      <c r="M260" s="43"/>
      <c r="N260" s="43"/>
      <c r="O260" s="43"/>
      <c r="Q260" s="43"/>
      <c r="U260" s="606"/>
      <c r="AA260" s="585"/>
    </row>
    <row r="261" spans="1:27">
      <c r="A261" s="43"/>
      <c r="B261" s="355" t="s">
        <v>119</v>
      </c>
      <c r="C261" s="43"/>
      <c r="D261" s="43"/>
      <c r="E261" s="43"/>
      <c r="F261" s="43"/>
      <c r="G261" s="43"/>
      <c r="H261" s="43"/>
      <c r="I261" s="43"/>
      <c r="J261" s="43"/>
      <c r="K261" s="43"/>
      <c r="L261" s="43"/>
      <c r="M261" s="43"/>
      <c r="N261" s="43"/>
      <c r="O261" s="43"/>
      <c r="Q261" s="43"/>
      <c r="U261" s="606"/>
      <c r="AA261" s="585"/>
    </row>
    <row r="262" spans="1:27">
      <c r="A262" s="43"/>
      <c r="B262" s="355"/>
      <c r="C262" s="43"/>
      <c r="D262" s="43"/>
      <c r="E262" s="43"/>
      <c r="F262" s="43"/>
      <c r="G262" s="43"/>
      <c r="H262" s="43"/>
      <c r="I262" s="43"/>
      <c r="J262" s="43"/>
      <c r="K262" s="43"/>
      <c r="L262" s="43"/>
      <c r="M262" s="43"/>
      <c r="N262" s="43"/>
      <c r="O262" s="43"/>
      <c r="Q262" s="43"/>
      <c r="U262" s="606"/>
      <c r="AA262" s="585"/>
    </row>
    <row r="263" spans="1:27">
      <c r="A263" s="43"/>
      <c r="B263" s="355" t="s">
        <v>120</v>
      </c>
      <c r="C263" s="43"/>
      <c r="D263" s="43"/>
      <c r="E263" s="43"/>
      <c r="F263" s="43"/>
      <c r="G263" s="43"/>
      <c r="H263" s="43"/>
      <c r="I263" s="43"/>
      <c r="J263" s="43"/>
      <c r="K263" s="43"/>
      <c r="L263" s="43"/>
      <c r="M263" s="43"/>
      <c r="N263" s="43"/>
      <c r="O263" s="43"/>
      <c r="Q263" s="43"/>
      <c r="U263" s="606"/>
      <c r="AA263" s="585"/>
    </row>
    <row r="264" spans="1:27">
      <c r="A264" s="43"/>
      <c r="B264" s="355" t="s">
        <v>121</v>
      </c>
      <c r="C264" s="43"/>
      <c r="D264" s="43"/>
      <c r="E264" s="43"/>
      <c r="F264" s="43"/>
      <c r="G264" s="43"/>
      <c r="H264" s="43"/>
      <c r="I264" s="43"/>
      <c r="J264" s="43"/>
      <c r="K264" s="43"/>
      <c r="L264" s="43"/>
      <c r="M264" s="43"/>
      <c r="N264" s="43"/>
      <c r="O264" s="43"/>
      <c r="Q264" s="43"/>
      <c r="U264" s="606"/>
      <c r="AA264" s="585"/>
    </row>
    <row r="265" spans="1:27">
      <c r="A265" s="43"/>
      <c r="B265" s="355"/>
      <c r="C265" s="43"/>
      <c r="D265" s="43"/>
      <c r="E265" s="43"/>
      <c r="F265" s="43"/>
      <c r="G265" s="43"/>
      <c r="H265" s="43"/>
      <c r="I265" s="43"/>
      <c r="J265" s="43"/>
      <c r="K265" s="43"/>
      <c r="L265" s="43"/>
      <c r="M265" s="43"/>
      <c r="N265" s="43"/>
      <c r="O265" s="43"/>
      <c r="Q265" s="43"/>
      <c r="U265" s="606"/>
      <c r="AA265" s="585"/>
    </row>
    <row r="266" spans="1:27">
      <c r="A266" s="43"/>
      <c r="B266" s="355"/>
      <c r="C266" s="43"/>
      <c r="D266" s="43"/>
      <c r="E266" s="43"/>
      <c r="F266" s="43"/>
      <c r="G266" s="43"/>
      <c r="H266" s="43"/>
      <c r="I266" s="43"/>
      <c r="J266" s="43"/>
      <c r="K266" s="43"/>
      <c r="L266" s="43"/>
      <c r="M266" s="43"/>
      <c r="N266" s="43"/>
      <c r="O266" s="43"/>
      <c r="Q266" s="43"/>
      <c r="U266" s="606"/>
      <c r="AA266" s="585"/>
    </row>
    <row r="267" spans="1:27">
      <c r="A267" s="43"/>
      <c r="C267" s="43"/>
      <c r="D267" s="43"/>
      <c r="E267" s="43"/>
      <c r="F267" s="43"/>
      <c r="G267" s="43"/>
      <c r="H267" s="43"/>
      <c r="I267" s="43"/>
      <c r="J267" s="43"/>
      <c r="K267" s="43"/>
      <c r="L267" s="43"/>
      <c r="M267" s="43"/>
      <c r="N267" s="43"/>
      <c r="O267" s="43"/>
      <c r="Q267" s="43"/>
      <c r="U267" s="606"/>
      <c r="AA267" s="585"/>
    </row>
    <row r="268" spans="1:27">
      <c r="A268" s="43"/>
      <c r="C268" s="43"/>
      <c r="D268" s="43"/>
      <c r="E268" s="43"/>
      <c r="F268" s="43"/>
      <c r="G268" s="43"/>
      <c r="H268" s="43"/>
      <c r="I268" s="43"/>
      <c r="J268" s="43"/>
      <c r="K268" s="43"/>
      <c r="L268" s="43"/>
      <c r="M268" s="43"/>
      <c r="N268" s="43"/>
      <c r="O268" s="43"/>
      <c r="Q268" s="43"/>
      <c r="U268" s="606"/>
      <c r="AA268" s="585"/>
    </row>
    <row r="269" spans="1:27">
      <c r="A269" s="43"/>
      <c r="AA269" s="585"/>
    </row>
    <row r="270" spans="1:27">
      <c r="A270" s="43"/>
      <c r="AA270" s="585"/>
    </row>
    <row r="271" spans="1:27">
      <c r="A271" s="43"/>
      <c r="C271" s="43"/>
      <c r="D271" s="43"/>
      <c r="E271" s="43"/>
      <c r="F271" s="43"/>
      <c r="G271" s="43"/>
      <c r="H271" s="43"/>
      <c r="I271" s="43"/>
      <c r="J271" s="43"/>
      <c r="K271" s="43"/>
      <c r="L271" s="43"/>
      <c r="M271" s="43"/>
      <c r="N271" s="43"/>
      <c r="O271" s="43"/>
      <c r="Q271" s="43"/>
      <c r="U271" s="606"/>
      <c r="AA271" s="585"/>
    </row>
    <row r="272" spans="1:27">
      <c r="A272" s="43"/>
      <c r="C272" s="43"/>
      <c r="D272" s="43"/>
      <c r="E272" s="43"/>
      <c r="F272" s="43"/>
      <c r="G272" s="43"/>
      <c r="H272" s="43"/>
      <c r="I272" s="43"/>
      <c r="J272" s="43"/>
      <c r="K272" s="43"/>
      <c r="L272" s="43"/>
      <c r="M272" s="43"/>
      <c r="N272" s="43"/>
      <c r="O272" s="43"/>
      <c r="Q272" s="43"/>
      <c r="U272" s="606"/>
      <c r="AA272" s="585"/>
    </row>
    <row r="273" spans="1:27">
      <c r="A273" s="43"/>
      <c r="C273" s="43"/>
      <c r="D273" s="43"/>
      <c r="E273" s="43"/>
      <c r="F273" s="43"/>
      <c r="G273" s="43"/>
      <c r="H273" s="43"/>
      <c r="I273" s="43"/>
      <c r="J273" s="43"/>
      <c r="K273" s="43"/>
      <c r="L273" s="43"/>
      <c r="M273" s="43"/>
      <c r="N273" s="43"/>
      <c r="O273" s="43"/>
      <c r="Q273" s="43"/>
      <c r="U273" s="606"/>
      <c r="AA273" s="585"/>
    </row>
    <row r="274" spans="1:27">
      <c r="A274" s="43"/>
      <c r="C274" s="43"/>
      <c r="D274" s="43"/>
      <c r="E274" s="43"/>
      <c r="F274" s="43"/>
      <c r="G274" s="43"/>
      <c r="H274" s="43"/>
      <c r="I274" s="43"/>
      <c r="J274" s="43"/>
      <c r="K274" s="43"/>
      <c r="L274" s="43"/>
      <c r="M274" s="43"/>
      <c r="N274" s="43"/>
      <c r="O274" s="43"/>
      <c r="Q274" s="43"/>
      <c r="U274" s="606"/>
      <c r="AA274" s="585"/>
    </row>
    <row r="275" spans="1:27">
      <c r="A275" s="43"/>
      <c r="C275" s="43"/>
      <c r="D275" s="43"/>
      <c r="E275" s="43"/>
      <c r="F275" s="43"/>
      <c r="G275" s="43"/>
      <c r="H275" s="43"/>
      <c r="I275" s="43"/>
      <c r="J275" s="43"/>
      <c r="K275" s="43"/>
      <c r="L275" s="43"/>
      <c r="M275" s="43"/>
      <c r="N275" s="43"/>
      <c r="O275" s="43"/>
      <c r="Q275" s="43"/>
      <c r="U275" s="606"/>
      <c r="AA275" s="585"/>
    </row>
    <row r="276" spans="1:27">
      <c r="A276" s="43"/>
      <c r="C276" s="43"/>
      <c r="D276" s="43"/>
      <c r="E276" s="43"/>
      <c r="F276" s="43"/>
      <c r="G276" s="43"/>
      <c r="H276" s="43"/>
      <c r="I276" s="43"/>
      <c r="J276" s="43"/>
      <c r="K276" s="43"/>
      <c r="L276" s="43"/>
      <c r="M276" s="43"/>
      <c r="N276" s="43"/>
      <c r="O276" s="43"/>
      <c r="Q276" s="43"/>
      <c r="U276" s="606"/>
      <c r="AA276" s="585"/>
    </row>
    <row r="277" spans="1:27">
      <c r="A277" s="43"/>
      <c r="C277" s="43"/>
      <c r="D277" s="43"/>
      <c r="E277" s="43"/>
      <c r="F277" s="43"/>
      <c r="G277" s="43"/>
      <c r="H277" s="43"/>
      <c r="I277" s="43"/>
      <c r="J277" s="43"/>
      <c r="K277" s="43"/>
      <c r="L277" s="43"/>
      <c r="M277" s="43"/>
      <c r="N277" s="43"/>
      <c r="O277" s="43"/>
      <c r="Q277" s="43"/>
      <c r="U277" s="606"/>
      <c r="AA277" s="585"/>
    </row>
    <row r="278" spans="1:27">
      <c r="A278" s="43"/>
      <c r="C278" s="43"/>
      <c r="D278" s="43"/>
      <c r="E278" s="43"/>
      <c r="F278" s="43"/>
      <c r="G278" s="43"/>
      <c r="H278" s="43"/>
      <c r="I278" s="43"/>
      <c r="J278" s="43"/>
      <c r="K278" s="43"/>
      <c r="L278" s="43"/>
      <c r="M278" s="43"/>
      <c r="N278" s="43"/>
      <c r="O278" s="43"/>
      <c r="Q278" s="43"/>
      <c r="U278" s="606"/>
      <c r="AA278" s="585"/>
    </row>
    <row r="279" spans="1:27">
      <c r="A279" s="43"/>
      <c r="C279" s="43"/>
      <c r="D279" s="43"/>
      <c r="E279" s="43"/>
      <c r="F279" s="43"/>
      <c r="G279" s="43"/>
      <c r="H279" s="43"/>
      <c r="I279" s="43"/>
      <c r="J279" s="43"/>
      <c r="K279" s="43"/>
      <c r="L279" s="43"/>
      <c r="M279" s="43"/>
      <c r="N279" s="43"/>
      <c r="O279" s="43"/>
      <c r="Q279" s="43"/>
      <c r="U279" s="606"/>
      <c r="AA279" s="585"/>
    </row>
    <row r="280" spans="1:27">
      <c r="A280" s="43"/>
      <c r="C280" s="43"/>
      <c r="D280" s="43"/>
      <c r="E280" s="43"/>
      <c r="F280" s="43"/>
      <c r="G280" s="43"/>
      <c r="H280" s="43"/>
      <c r="I280" s="43"/>
      <c r="J280" s="43"/>
      <c r="K280" s="43"/>
      <c r="L280" s="43"/>
      <c r="M280" s="43"/>
      <c r="N280" s="43"/>
      <c r="O280" s="43"/>
      <c r="Q280" s="43"/>
      <c r="U280" s="606"/>
      <c r="AA280" s="585"/>
    </row>
    <row r="281" spans="1:27">
      <c r="A281" s="43"/>
      <c r="C281" s="43"/>
      <c r="D281" s="43"/>
      <c r="E281" s="43"/>
      <c r="F281" s="43"/>
      <c r="G281" s="43"/>
      <c r="H281" s="43"/>
      <c r="I281" s="43"/>
      <c r="J281" s="43"/>
      <c r="K281" s="43"/>
      <c r="L281" s="43"/>
      <c r="M281" s="43"/>
      <c r="N281" s="43"/>
      <c r="O281" s="43"/>
      <c r="Q281" s="43"/>
      <c r="U281" s="606"/>
      <c r="AA281" s="585"/>
    </row>
    <row r="282" spans="1:27">
      <c r="A282" s="43"/>
      <c r="C282" s="43"/>
      <c r="D282" s="43"/>
      <c r="E282" s="43"/>
      <c r="F282" s="43"/>
      <c r="G282" s="43"/>
      <c r="H282" s="43"/>
      <c r="I282" s="43"/>
      <c r="J282" s="43"/>
      <c r="K282" s="43"/>
      <c r="L282" s="43"/>
      <c r="M282" s="43"/>
      <c r="N282" s="43"/>
      <c r="O282" s="43"/>
      <c r="Q282" s="43"/>
      <c r="U282" s="606"/>
      <c r="AA282" s="585"/>
    </row>
    <row r="283" spans="1:27">
      <c r="A283" s="43"/>
      <c r="C283" s="43"/>
      <c r="D283" s="43"/>
      <c r="E283" s="43"/>
      <c r="F283" s="43"/>
      <c r="G283" s="43"/>
      <c r="H283" s="43"/>
      <c r="I283" s="43"/>
      <c r="J283" s="43"/>
      <c r="K283" s="43"/>
      <c r="L283" s="43"/>
      <c r="M283" s="43"/>
      <c r="N283" s="43"/>
      <c r="O283" s="43"/>
      <c r="Q283" s="43"/>
      <c r="U283" s="606"/>
      <c r="AA283" s="585"/>
    </row>
    <row r="284" spans="1:27">
      <c r="A284" s="43"/>
      <c r="C284" s="43"/>
      <c r="D284" s="43"/>
      <c r="E284" s="43"/>
      <c r="F284" s="43"/>
      <c r="G284" s="43"/>
      <c r="H284" s="43"/>
      <c r="I284" s="43"/>
      <c r="J284" s="43"/>
      <c r="K284" s="43"/>
      <c r="L284" s="43"/>
      <c r="M284" s="43"/>
      <c r="N284" s="43"/>
      <c r="O284" s="43"/>
      <c r="Q284" s="43"/>
      <c r="U284" s="606"/>
      <c r="AA284" s="585"/>
    </row>
    <row r="285" spans="1:27">
      <c r="A285" s="43"/>
      <c r="C285" s="43"/>
      <c r="D285" s="43"/>
      <c r="E285" s="43"/>
      <c r="F285" s="43"/>
      <c r="G285" s="43"/>
      <c r="H285" s="43"/>
      <c r="I285" s="43"/>
      <c r="J285" s="43"/>
      <c r="K285" s="43"/>
      <c r="L285" s="43"/>
      <c r="M285" s="43"/>
      <c r="N285" s="43"/>
      <c r="O285" s="43"/>
      <c r="Q285" s="43"/>
      <c r="U285" s="606"/>
      <c r="AA285" s="585"/>
    </row>
    <row r="286" spans="1:27">
      <c r="A286" s="43"/>
      <c r="C286" s="43"/>
      <c r="D286" s="43"/>
      <c r="E286" s="43"/>
      <c r="F286" s="43"/>
      <c r="G286" s="43"/>
      <c r="H286" s="43"/>
      <c r="I286" s="43"/>
      <c r="J286" s="43"/>
      <c r="K286" s="43"/>
      <c r="L286" s="43"/>
      <c r="M286" s="43"/>
      <c r="N286" s="43"/>
      <c r="O286" s="43"/>
      <c r="Q286" s="43"/>
      <c r="U286" s="606"/>
      <c r="AA286" s="585"/>
    </row>
    <row r="287" spans="1:27">
      <c r="A287" s="43"/>
      <c r="C287" s="43"/>
      <c r="D287" s="43"/>
      <c r="E287" s="43"/>
      <c r="F287" s="43"/>
      <c r="G287" s="43"/>
      <c r="H287" s="43"/>
      <c r="I287" s="43"/>
      <c r="J287" s="43"/>
      <c r="K287" s="43"/>
      <c r="L287" s="43"/>
      <c r="M287" s="43"/>
      <c r="N287" s="43"/>
      <c r="O287" s="43"/>
      <c r="Q287" s="43"/>
      <c r="U287" s="606"/>
      <c r="AA287" s="585"/>
    </row>
    <row r="288" spans="1:27">
      <c r="A288" s="43"/>
      <c r="C288" s="43"/>
      <c r="D288" s="43"/>
      <c r="E288" s="43"/>
      <c r="F288" s="43"/>
      <c r="G288" s="43"/>
      <c r="H288" s="43"/>
      <c r="I288" s="43"/>
      <c r="J288" s="43"/>
      <c r="K288" s="43"/>
      <c r="L288" s="43"/>
      <c r="M288" s="43"/>
      <c r="N288" s="43"/>
      <c r="O288" s="43"/>
      <c r="Q288" s="43"/>
      <c r="U288" s="606"/>
      <c r="AA288" s="585"/>
    </row>
    <row r="289" spans="1:27">
      <c r="A289" s="43"/>
      <c r="C289" s="43"/>
      <c r="D289" s="43"/>
      <c r="E289" s="43"/>
      <c r="F289" s="43"/>
      <c r="G289" s="43"/>
      <c r="H289" s="43"/>
      <c r="I289" s="43"/>
      <c r="J289" s="43"/>
      <c r="K289" s="43"/>
      <c r="L289" s="43"/>
      <c r="M289" s="43"/>
      <c r="N289" s="43"/>
      <c r="O289" s="43"/>
      <c r="Q289" s="43"/>
      <c r="U289" s="606"/>
      <c r="AA289" s="585"/>
    </row>
    <row r="290" spans="1:27">
      <c r="A290" s="43"/>
      <c r="C290" s="43"/>
      <c r="D290" s="43"/>
      <c r="E290" s="43"/>
      <c r="F290" s="43"/>
      <c r="G290" s="43"/>
      <c r="H290" s="43"/>
      <c r="I290" s="43"/>
      <c r="J290" s="43"/>
      <c r="K290" s="43"/>
      <c r="L290" s="43"/>
      <c r="M290" s="43"/>
      <c r="N290" s="43"/>
      <c r="O290" s="43"/>
      <c r="Q290" s="43"/>
      <c r="U290" s="606"/>
      <c r="AA290" s="585"/>
    </row>
    <row r="291" spans="1:27">
      <c r="A291" s="43"/>
      <c r="C291" s="43"/>
      <c r="D291" s="43"/>
      <c r="E291" s="43"/>
      <c r="F291" s="43"/>
      <c r="G291" s="43"/>
      <c r="H291" s="43"/>
      <c r="I291" s="43"/>
      <c r="J291" s="43"/>
      <c r="K291" s="43"/>
      <c r="L291" s="43"/>
      <c r="M291" s="43"/>
      <c r="N291" s="43"/>
      <c r="O291" s="43"/>
      <c r="Q291" s="43"/>
      <c r="U291" s="606"/>
      <c r="AA291" s="585"/>
    </row>
    <row r="292" spans="1:27">
      <c r="A292" s="43"/>
      <c r="C292" s="43"/>
      <c r="D292" s="43"/>
      <c r="E292" s="43"/>
      <c r="F292" s="43"/>
      <c r="G292" s="43"/>
      <c r="H292" s="43"/>
      <c r="I292" s="43"/>
      <c r="J292" s="43"/>
      <c r="K292" s="43"/>
      <c r="L292" s="43"/>
      <c r="M292" s="43"/>
      <c r="N292" s="43"/>
      <c r="O292" s="43"/>
      <c r="Q292" s="43"/>
      <c r="U292" s="606"/>
      <c r="AA292" s="585"/>
    </row>
    <row r="293" spans="1:27">
      <c r="A293" s="43"/>
      <c r="C293" s="43"/>
      <c r="D293" s="43"/>
      <c r="E293" s="43"/>
      <c r="F293" s="43"/>
      <c r="G293" s="43"/>
      <c r="H293" s="43"/>
      <c r="I293" s="43"/>
      <c r="J293" s="43"/>
      <c r="K293" s="43"/>
      <c r="L293" s="43"/>
      <c r="M293" s="43"/>
      <c r="N293" s="43"/>
      <c r="O293" s="43"/>
      <c r="Q293" s="43"/>
      <c r="U293" s="606"/>
      <c r="AA293" s="585"/>
    </row>
    <row r="294" spans="1:27">
      <c r="A294" s="43"/>
      <c r="C294" s="43"/>
      <c r="D294" s="43"/>
      <c r="E294" s="43"/>
      <c r="F294" s="43"/>
      <c r="G294" s="43"/>
      <c r="H294" s="43"/>
      <c r="I294" s="43"/>
      <c r="J294" s="43"/>
      <c r="K294" s="43"/>
      <c r="L294" s="43"/>
      <c r="M294" s="43"/>
      <c r="N294" s="43"/>
      <c r="O294" s="43"/>
      <c r="Q294" s="43"/>
      <c r="U294" s="606"/>
      <c r="AA294" s="585"/>
    </row>
    <row r="295" spans="1:27">
      <c r="A295" s="43"/>
      <c r="C295" s="43"/>
      <c r="D295" s="43"/>
      <c r="E295" s="43"/>
      <c r="F295" s="43"/>
      <c r="G295" s="43"/>
      <c r="H295" s="43"/>
      <c r="I295" s="43"/>
      <c r="J295" s="43"/>
      <c r="K295" s="43"/>
      <c r="L295" s="43"/>
      <c r="M295" s="43"/>
      <c r="N295" s="43"/>
      <c r="O295" s="43"/>
      <c r="Q295" s="43"/>
      <c r="U295" s="606"/>
      <c r="AA295" s="585"/>
    </row>
    <row r="296" spans="1:27">
      <c r="A296" s="43"/>
      <c r="C296" s="43"/>
      <c r="D296" s="43"/>
      <c r="E296" s="43"/>
      <c r="F296" s="43"/>
      <c r="G296" s="43"/>
      <c r="H296" s="43"/>
      <c r="I296" s="43"/>
      <c r="J296" s="43"/>
      <c r="K296" s="43"/>
      <c r="L296" s="43"/>
      <c r="M296" s="43"/>
      <c r="N296" s="43"/>
      <c r="O296" s="43"/>
      <c r="Q296" s="43"/>
      <c r="U296" s="606"/>
      <c r="AA296" s="585"/>
    </row>
    <row r="297" spans="1:27">
      <c r="A297" s="43"/>
      <c r="C297" s="43"/>
      <c r="D297" s="43"/>
      <c r="E297" s="43"/>
      <c r="F297" s="43"/>
      <c r="G297" s="43"/>
      <c r="H297" s="43"/>
      <c r="I297" s="43"/>
      <c r="J297" s="43"/>
      <c r="K297" s="43"/>
      <c r="L297" s="43"/>
      <c r="M297" s="43"/>
      <c r="N297" s="43"/>
      <c r="O297" s="43"/>
      <c r="Q297" s="43"/>
      <c r="U297" s="606"/>
      <c r="AA297" s="585"/>
    </row>
    <row r="298" spans="1:27">
      <c r="A298" s="43"/>
      <c r="C298" s="43"/>
      <c r="D298" s="43"/>
      <c r="E298" s="43"/>
      <c r="F298" s="43"/>
      <c r="G298" s="43"/>
      <c r="H298" s="43"/>
      <c r="I298" s="43"/>
      <c r="J298" s="43"/>
      <c r="K298" s="43"/>
      <c r="L298" s="43"/>
      <c r="M298" s="43"/>
      <c r="N298" s="43"/>
      <c r="O298" s="43"/>
      <c r="Q298" s="43"/>
      <c r="U298" s="606"/>
      <c r="AA298" s="585"/>
    </row>
    <row r="299" spans="1:27">
      <c r="A299" s="43"/>
      <c r="C299" s="43"/>
      <c r="D299" s="43"/>
      <c r="E299" s="43"/>
      <c r="F299" s="43"/>
      <c r="G299" s="43"/>
      <c r="H299" s="43"/>
      <c r="I299" s="43"/>
      <c r="J299" s="43"/>
      <c r="K299" s="43"/>
      <c r="L299" s="43"/>
      <c r="M299" s="43"/>
      <c r="N299" s="43"/>
      <c r="O299" s="43"/>
      <c r="Q299" s="43"/>
      <c r="U299" s="606"/>
      <c r="AA299" s="585"/>
    </row>
    <row r="300" spans="1:27">
      <c r="A300" s="43"/>
      <c r="C300" s="43"/>
      <c r="D300" s="43"/>
      <c r="E300" s="43"/>
      <c r="F300" s="43"/>
      <c r="G300" s="43"/>
      <c r="H300" s="43"/>
      <c r="I300" s="43"/>
      <c r="J300" s="43"/>
      <c r="K300" s="43"/>
      <c r="L300" s="43"/>
      <c r="M300" s="43"/>
      <c r="N300" s="43"/>
      <c r="O300" s="43"/>
      <c r="Q300" s="43"/>
      <c r="U300" s="606"/>
      <c r="AA300" s="585"/>
    </row>
    <row r="301" spans="1:27">
      <c r="A301" s="43"/>
      <c r="C301" s="43"/>
      <c r="D301" s="43"/>
      <c r="E301" s="43"/>
      <c r="F301" s="43"/>
      <c r="G301" s="43"/>
      <c r="H301" s="43"/>
      <c r="I301" s="43"/>
      <c r="J301" s="43"/>
      <c r="K301" s="43"/>
      <c r="L301" s="43"/>
      <c r="M301" s="43"/>
      <c r="N301" s="43"/>
      <c r="O301" s="43"/>
      <c r="Q301" s="43"/>
      <c r="U301" s="606"/>
      <c r="AA301" s="585"/>
    </row>
    <row r="302" spans="1:27">
      <c r="A302" s="43"/>
      <c r="C302" s="43"/>
      <c r="D302" s="43"/>
      <c r="E302" s="43"/>
      <c r="F302" s="43"/>
      <c r="G302" s="43"/>
      <c r="H302" s="43"/>
      <c r="I302" s="43"/>
      <c r="J302" s="43"/>
      <c r="K302" s="43"/>
      <c r="L302" s="43"/>
      <c r="M302" s="43"/>
      <c r="N302" s="43"/>
      <c r="O302" s="43"/>
      <c r="Q302" s="43"/>
      <c r="U302" s="606"/>
      <c r="AA302" s="585"/>
    </row>
    <row r="303" spans="1:27">
      <c r="A303" s="43"/>
      <c r="C303" s="43"/>
      <c r="D303" s="43"/>
      <c r="E303" s="43"/>
      <c r="F303" s="43"/>
      <c r="G303" s="43"/>
      <c r="H303" s="43"/>
      <c r="I303" s="43"/>
      <c r="J303" s="43"/>
      <c r="K303" s="43"/>
      <c r="L303" s="43"/>
      <c r="M303" s="43"/>
      <c r="N303" s="43"/>
      <c r="O303" s="43"/>
      <c r="Q303" s="43"/>
      <c r="U303" s="606"/>
      <c r="AA303" s="585"/>
    </row>
    <row r="304" spans="1:27">
      <c r="A304" s="43"/>
      <c r="C304" s="43"/>
      <c r="D304" s="43"/>
      <c r="E304" s="43"/>
      <c r="F304" s="43"/>
      <c r="G304" s="43"/>
      <c r="H304" s="43"/>
      <c r="I304" s="43"/>
      <c r="J304" s="43"/>
      <c r="K304" s="43"/>
      <c r="L304" s="43"/>
      <c r="M304" s="43"/>
      <c r="N304" s="43"/>
      <c r="O304" s="43"/>
      <c r="Q304" s="43"/>
      <c r="U304" s="606"/>
      <c r="AA304" s="585"/>
    </row>
    <row r="305" spans="1:27">
      <c r="A305" s="43"/>
      <c r="C305" s="43"/>
      <c r="D305" s="43"/>
      <c r="E305" s="43"/>
      <c r="F305" s="43"/>
      <c r="G305" s="43"/>
      <c r="H305" s="43"/>
      <c r="I305" s="43"/>
      <c r="J305" s="43"/>
      <c r="K305" s="43"/>
      <c r="L305" s="43"/>
      <c r="M305" s="43"/>
      <c r="N305" s="43"/>
      <c r="O305" s="43"/>
      <c r="Q305" s="43"/>
      <c r="U305" s="606"/>
      <c r="AA305" s="585"/>
    </row>
    <row r="306" spans="1:27">
      <c r="A306" s="43"/>
      <c r="C306" s="43"/>
      <c r="D306" s="43"/>
      <c r="E306" s="43"/>
      <c r="F306" s="43"/>
      <c r="G306" s="43"/>
      <c r="H306" s="43"/>
      <c r="I306" s="43"/>
      <c r="J306" s="43"/>
      <c r="K306" s="43"/>
      <c r="L306" s="43"/>
      <c r="M306" s="43"/>
      <c r="N306" s="43"/>
      <c r="O306" s="43"/>
      <c r="Q306" s="43"/>
      <c r="U306" s="606"/>
      <c r="AA306" s="585"/>
    </row>
    <row r="307" spans="1:27">
      <c r="A307" s="43"/>
      <c r="C307" s="43"/>
      <c r="D307" s="43"/>
      <c r="E307" s="43"/>
      <c r="F307" s="43"/>
      <c r="G307" s="43"/>
      <c r="H307" s="43"/>
      <c r="I307" s="43"/>
      <c r="J307" s="43"/>
      <c r="K307" s="43"/>
      <c r="L307" s="43"/>
      <c r="M307" s="43"/>
      <c r="N307" s="43"/>
      <c r="O307" s="43"/>
      <c r="Q307" s="43"/>
      <c r="U307" s="606"/>
      <c r="AA307" s="585"/>
    </row>
    <row r="308" spans="1:27">
      <c r="A308" s="43"/>
      <c r="C308" s="43"/>
      <c r="D308" s="43"/>
      <c r="E308" s="43"/>
      <c r="F308" s="43"/>
      <c r="G308" s="43"/>
      <c r="H308" s="43"/>
      <c r="I308" s="43"/>
      <c r="J308" s="43"/>
      <c r="K308" s="43"/>
      <c r="L308" s="43"/>
      <c r="M308" s="43"/>
      <c r="N308" s="43"/>
      <c r="O308" s="43"/>
      <c r="Q308" s="43"/>
      <c r="U308" s="606"/>
      <c r="AA308" s="585"/>
    </row>
    <row r="309" spans="1:27">
      <c r="A309" s="43"/>
      <c r="C309" s="43"/>
      <c r="D309" s="43"/>
      <c r="E309" s="43"/>
      <c r="F309" s="43"/>
      <c r="G309" s="43"/>
      <c r="H309" s="43"/>
      <c r="I309" s="43"/>
      <c r="J309" s="43"/>
      <c r="K309" s="43"/>
      <c r="L309" s="43"/>
      <c r="M309" s="43"/>
      <c r="N309" s="43"/>
      <c r="O309" s="43"/>
      <c r="Q309" s="43"/>
      <c r="U309" s="606"/>
      <c r="AA309" s="585"/>
    </row>
    <row r="310" spans="1:27">
      <c r="A310" s="43"/>
      <c r="C310" s="43"/>
      <c r="D310" s="43"/>
      <c r="E310" s="43"/>
      <c r="F310" s="43"/>
      <c r="G310" s="43"/>
      <c r="H310" s="43"/>
      <c r="I310" s="43"/>
      <c r="J310" s="43"/>
      <c r="K310" s="43"/>
      <c r="L310" s="43"/>
      <c r="M310" s="43"/>
      <c r="N310" s="43"/>
      <c r="O310" s="43"/>
      <c r="Q310" s="43"/>
      <c r="U310" s="606"/>
      <c r="AA310" s="585"/>
    </row>
    <row r="311" spans="1:27">
      <c r="A311" s="43"/>
      <c r="C311" s="43"/>
      <c r="D311" s="43"/>
      <c r="E311" s="43"/>
      <c r="F311" s="43"/>
      <c r="G311" s="43"/>
      <c r="H311" s="43"/>
      <c r="I311" s="43"/>
      <c r="J311" s="43"/>
      <c r="K311" s="43"/>
      <c r="L311" s="43"/>
      <c r="M311" s="43"/>
      <c r="N311" s="43"/>
      <c r="O311" s="43"/>
      <c r="Q311" s="43"/>
      <c r="U311" s="606"/>
      <c r="AA311" s="585"/>
    </row>
    <row r="312" spans="1:27">
      <c r="A312" s="43"/>
      <c r="C312" s="43"/>
      <c r="D312" s="43"/>
      <c r="E312" s="43"/>
      <c r="F312" s="43"/>
      <c r="G312" s="43"/>
      <c r="H312" s="43"/>
      <c r="I312" s="43"/>
      <c r="J312" s="43"/>
      <c r="K312" s="43"/>
      <c r="L312" s="43"/>
      <c r="M312" s="43"/>
      <c r="N312" s="43"/>
      <c r="O312" s="43"/>
      <c r="Q312" s="43"/>
      <c r="U312" s="606"/>
      <c r="AA312" s="585"/>
    </row>
    <row r="313" spans="1:27">
      <c r="A313" s="43"/>
      <c r="C313" s="43"/>
      <c r="D313" s="43"/>
      <c r="E313" s="43"/>
      <c r="F313" s="43"/>
      <c r="G313" s="43"/>
      <c r="H313" s="43"/>
      <c r="I313" s="43"/>
      <c r="J313" s="43"/>
      <c r="K313" s="43"/>
      <c r="L313" s="43"/>
      <c r="M313" s="43"/>
      <c r="N313" s="43"/>
      <c r="O313" s="43"/>
      <c r="Q313" s="43"/>
      <c r="U313" s="606"/>
      <c r="AA313" s="585"/>
    </row>
    <row r="314" spans="1:27">
      <c r="A314" s="43"/>
      <c r="C314" s="43"/>
      <c r="D314" s="43"/>
      <c r="E314" s="43"/>
      <c r="F314" s="43"/>
      <c r="G314" s="43"/>
      <c r="H314" s="43"/>
      <c r="I314" s="43"/>
      <c r="J314" s="43"/>
      <c r="K314" s="43"/>
      <c r="L314" s="43"/>
      <c r="M314" s="43"/>
      <c r="N314" s="43"/>
      <c r="O314" s="43"/>
      <c r="Q314" s="43"/>
      <c r="U314" s="606"/>
      <c r="AA314" s="585"/>
    </row>
    <row r="315" spans="1:27">
      <c r="A315" s="43"/>
      <c r="C315" s="43"/>
      <c r="D315" s="43"/>
      <c r="E315" s="43"/>
      <c r="F315" s="43"/>
      <c r="G315" s="43"/>
      <c r="H315" s="43"/>
      <c r="I315" s="43"/>
      <c r="J315" s="43"/>
      <c r="K315" s="43"/>
      <c r="L315" s="43"/>
      <c r="M315" s="43"/>
      <c r="N315" s="43"/>
      <c r="O315" s="43"/>
      <c r="Q315" s="43"/>
      <c r="U315" s="606"/>
      <c r="AA315" s="585"/>
    </row>
    <row r="316" spans="1:27">
      <c r="A316" s="43"/>
      <c r="C316" s="43"/>
      <c r="D316" s="43"/>
      <c r="E316" s="43"/>
      <c r="F316" s="43"/>
      <c r="G316" s="43"/>
      <c r="H316" s="43"/>
      <c r="I316" s="43"/>
      <c r="J316" s="43"/>
      <c r="K316" s="43"/>
      <c r="L316" s="43"/>
      <c r="M316" s="43"/>
      <c r="N316" s="43"/>
      <c r="O316" s="43"/>
      <c r="Q316" s="43"/>
      <c r="U316" s="606"/>
      <c r="AA316" s="585"/>
    </row>
    <row r="317" spans="1:27">
      <c r="A317" s="43"/>
      <c r="C317" s="43"/>
      <c r="D317" s="43"/>
      <c r="E317" s="43"/>
      <c r="F317" s="43"/>
      <c r="G317" s="43"/>
      <c r="H317" s="43"/>
      <c r="I317" s="43"/>
      <c r="J317" s="43"/>
      <c r="K317" s="43"/>
      <c r="L317" s="43"/>
      <c r="M317" s="43"/>
      <c r="N317" s="43"/>
      <c r="O317" s="43"/>
      <c r="Q317" s="43"/>
      <c r="U317" s="606"/>
      <c r="AA317" s="585"/>
    </row>
    <row r="318" spans="1:27">
      <c r="A318" s="43"/>
      <c r="C318" s="43"/>
      <c r="D318" s="43"/>
      <c r="E318" s="43"/>
      <c r="F318" s="43"/>
      <c r="G318" s="43"/>
      <c r="H318" s="43"/>
      <c r="I318" s="43"/>
      <c r="J318" s="43"/>
      <c r="K318" s="43"/>
      <c r="L318" s="43"/>
      <c r="M318" s="43"/>
      <c r="N318" s="43"/>
      <c r="O318" s="43"/>
      <c r="Q318" s="43"/>
      <c r="U318" s="606"/>
      <c r="AA318" s="585"/>
    </row>
    <row r="319" spans="1:27">
      <c r="A319" s="43"/>
      <c r="C319" s="43"/>
      <c r="D319" s="43"/>
      <c r="E319" s="43"/>
      <c r="F319" s="43"/>
      <c r="G319" s="43"/>
      <c r="H319" s="43"/>
      <c r="I319" s="43"/>
      <c r="J319" s="43"/>
      <c r="K319" s="43"/>
      <c r="L319" s="43"/>
      <c r="M319" s="43"/>
      <c r="N319" s="43"/>
      <c r="O319" s="43"/>
      <c r="Q319" s="43"/>
      <c r="U319" s="606"/>
      <c r="AA319" s="585"/>
    </row>
    <row r="320" spans="1:27">
      <c r="A320" s="43"/>
      <c r="C320" s="43"/>
      <c r="D320" s="43"/>
      <c r="E320" s="43"/>
      <c r="F320" s="43"/>
      <c r="G320" s="43"/>
      <c r="H320" s="43"/>
      <c r="I320" s="43"/>
      <c r="J320" s="43"/>
      <c r="K320" s="43"/>
      <c r="L320" s="43"/>
      <c r="M320" s="43"/>
      <c r="N320" s="43"/>
      <c r="O320" s="43"/>
      <c r="Q320" s="43"/>
      <c r="U320" s="606"/>
      <c r="AA320" s="585"/>
    </row>
    <row r="321" spans="1:27">
      <c r="A321" s="43"/>
      <c r="C321" s="43"/>
      <c r="D321" s="43"/>
      <c r="E321" s="43"/>
      <c r="F321" s="43"/>
      <c r="G321" s="43"/>
      <c r="H321" s="43"/>
      <c r="I321" s="43"/>
      <c r="J321" s="43"/>
      <c r="K321" s="43"/>
      <c r="L321" s="43"/>
      <c r="M321" s="43"/>
      <c r="N321" s="43"/>
      <c r="O321" s="43"/>
      <c r="Q321" s="43"/>
      <c r="U321" s="606"/>
      <c r="AA321" s="585"/>
    </row>
    <row r="322" spans="1:27">
      <c r="A322" s="43"/>
      <c r="C322" s="43"/>
      <c r="D322" s="43"/>
      <c r="E322" s="43"/>
      <c r="F322" s="43"/>
      <c r="G322" s="43"/>
      <c r="H322" s="43"/>
      <c r="I322" s="43"/>
      <c r="J322" s="43"/>
      <c r="K322" s="43"/>
      <c r="L322" s="43"/>
      <c r="M322" s="43"/>
      <c r="N322" s="43"/>
      <c r="O322" s="43"/>
      <c r="Q322" s="43"/>
      <c r="U322" s="606"/>
      <c r="AA322" s="585"/>
    </row>
    <row r="323" spans="1:27">
      <c r="A323" s="43"/>
      <c r="C323" s="43"/>
      <c r="D323" s="43"/>
      <c r="E323" s="43"/>
      <c r="F323" s="43"/>
      <c r="G323" s="43"/>
      <c r="H323" s="43"/>
      <c r="I323" s="43"/>
      <c r="J323" s="43"/>
      <c r="K323" s="43"/>
      <c r="L323" s="43"/>
      <c r="M323" s="43"/>
      <c r="N323" s="43"/>
      <c r="O323" s="43"/>
      <c r="Q323" s="43"/>
      <c r="U323" s="606"/>
      <c r="AA323" s="585"/>
    </row>
    <row r="324" spans="1:27">
      <c r="A324" s="43"/>
      <c r="C324" s="43"/>
      <c r="D324" s="43"/>
      <c r="E324" s="43"/>
      <c r="F324" s="43"/>
      <c r="G324" s="43"/>
      <c r="H324" s="43"/>
      <c r="I324" s="43"/>
      <c r="J324" s="43"/>
      <c r="K324" s="43"/>
      <c r="L324" s="43"/>
      <c r="M324" s="43"/>
      <c r="N324" s="43"/>
      <c r="O324" s="43"/>
      <c r="Q324" s="43"/>
      <c r="U324" s="606"/>
      <c r="AA324" s="585"/>
    </row>
    <row r="325" spans="1:27">
      <c r="A325" s="43"/>
      <c r="C325" s="43"/>
      <c r="D325" s="43"/>
      <c r="E325" s="43"/>
      <c r="F325" s="43"/>
      <c r="G325" s="43"/>
      <c r="H325" s="43"/>
      <c r="I325" s="43"/>
      <c r="J325" s="43"/>
      <c r="K325" s="43"/>
      <c r="L325" s="43"/>
      <c r="M325" s="43"/>
      <c r="N325" s="43"/>
      <c r="O325" s="43"/>
      <c r="Q325" s="43"/>
      <c r="U325" s="606"/>
      <c r="AA325" s="585"/>
    </row>
    <row r="326" spans="1:27">
      <c r="A326" s="43"/>
      <c r="C326" s="43"/>
      <c r="D326" s="43"/>
      <c r="E326" s="43"/>
      <c r="F326" s="43"/>
      <c r="G326" s="43"/>
      <c r="H326" s="43"/>
      <c r="I326" s="43"/>
      <c r="J326" s="43"/>
      <c r="K326" s="43"/>
      <c r="L326" s="43"/>
      <c r="M326" s="43"/>
      <c r="N326" s="43"/>
      <c r="O326" s="43"/>
      <c r="Q326" s="43"/>
      <c r="U326" s="606"/>
      <c r="AA326" s="585"/>
    </row>
    <row r="327" spans="1:27">
      <c r="A327" s="43"/>
      <c r="C327" s="43"/>
      <c r="D327" s="43"/>
      <c r="E327" s="43"/>
      <c r="F327" s="43"/>
      <c r="G327" s="43"/>
      <c r="H327" s="43"/>
      <c r="I327" s="43"/>
      <c r="J327" s="43"/>
      <c r="K327" s="43"/>
      <c r="L327" s="43"/>
      <c r="M327" s="43"/>
      <c r="N327" s="43"/>
      <c r="O327" s="43"/>
      <c r="Q327" s="43"/>
      <c r="U327" s="606"/>
      <c r="AA327" s="585"/>
    </row>
    <row r="328" spans="1:27">
      <c r="A328" s="43"/>
      <c r="C328" s="43"/>
      <c r="D328" s="43"/>
      <c r="E328" s="43"/>
      <c r="F328" s="43"/>
      <c r="G328" s="43"/>
      <c r="H328" s="43"/>
      <c r="I328" s="43"/>
      <c r="J328" s="43"/>
      <c r="K328" s="43"/>
      <c r="L328" s="43"/>
      <c r="M328" s="43"/>
      <c r="N328" s="43"/>
      <c r="O328" s="43"/>
      <c r="Q328" s="43"/>
      <c r="U328" s="606"/>
      <c r="AA328" s="585"/>
    </row>
    <row r="329" spans="1:27">
      <c r="A329" s="43"/>
      <c r="C329" s="43"/>
      <c r="D329" s="43"/>
      <c r="E329" s="43"/>
      <c r="F329" s="43"/>
      <c r="G329" s="43"/>
      <c r="H329" s="43"/>
      <c r="I329" s="43"/>
      <c r="J329" s="43"/>
      <c r="K329" s="43"/>
      <c r="L329" s="43"/>
      <c r="M329" s="43"/>
      <c r="N329" s="43"/>
      <c r="O329" s="43"/>
      <c r="Q329" s="43"/>
      <c r="U329" s="606"/>
      <c r="AA329" s="585"/>
    </row>
    <row r="330" spans="1:27">
      <c r="A330" s="43"/>
      <c r="C330" s="43"/>
      <c r="D330" s="43"/>
      <c r="E330" s="43"/>
      <c r="F330" s="43"/>
      <c r="G330" s="43"/>
      <c r="H330" s="43"/>
      <c r="I330" s="43"/>
      <c r="J330" s="43"/>
      <c r="K330" s="43"/>
      <c r="L330" s="43"/>
      <c r="M330" s="43"/>
      <c r="N330" s="43"/>
      <c r="O330" s="43"/>
      <c r="Q330" s="43"/>
      <c r="U330" s="606"/>
      <c r="AA330" s="585"/>
    </row>
    <row r="331" spans="1:27">
      <c r="A331" s="43"/>
      <c r="C331" s="43"/>
      <c r="D331" s="43"/>
      <c r="E331" s="43"/>
      <c r="F331" s="43"/>
      <c r="G331" s="43"/>
      <c r="H331" s="43"/>
      <c r="I331" s="43"/>
      <c r="J331" s="43"/>
      <c r="K331" s="43"/>
      <c r="L331" s="43"/>
      <c r="M331" s="43"/>
      <c r="N331" s="43"/>
      <c r="O331" s="43"/>
      <c r="Q331" s="43"/>
      <c r="U331" s="606"/>
      <c r="AA331" s="585"/>
    </row>
    <row r="332" spans="1:27">
      <c r="A332" s="43"/>
      <c r="C332" s="43"/>
      <c r="D332" s="43"/>
      <c r="E332" s="43"/>
      <c r="F332" s="43"/>
      <c r="G332" s="43"/>
      <c r="H332" s="43"/>
      <c r="I332" s="43"/>
      <c r="J332" s="43"/>
      <c r="K332" s="43"/>
      <c r="L332" s="43"/>
      <c r="M332" s="43"/>
      <c r="N332" s="43"/>
      <c r="O332" s="43"/>
      <c r="Q332" s="43"/>
      <c r="U332" s="606"/>
      <c r="AA332" s="585"/>
    </row>
    <row r="333" spans="1:27">
      <c r="A333" s="43"/>
      <c r="C333" s="43"/>
      <c r="D333" s="43"/>
      <c r="E333" s="43"/>
      <c r="F333" s="43"/>
      <c r="G333" s="43"/>
      <c r="H333" s="43"/>
      <c r="I333" s="43"/>
      <c r="J333" s="43"/>
      <c r="K333" s="43"/>
      <c r="L333" s="43"/>
      <c r="M333" s="43"/>
      <c r="N333" s="43"/>
      <c r="O333" s="43"/>
      <c r="Q333" s="43"/>
      <c r="U333" s="606"/>
      <c r="AA333" s="585"/>
    </row>
    <row r="334" spans="1:27">
      <c r="A334" s="43"/>
      <c r="C334" s="43"/>
      <c r="D334" s="43"/>
      <c r="E334" s="43"/>
      <c r="F334" s="43"/>
      <c r="G334" s="43"/>
      <c r="H334" s="43"/>
      <c r="I334" s="43"/>
      <c r="J334" s="43"/>
      <c r="K334" s="43"/>
      <c r="L334" s="43"/>
      <c r="M334" s="43"/>
      <c r="N334" s="43"/>
      <c r="O334" s="43"/>
      <c r="Q334" s="43"/>
      <c r="U334" s="606"/>
      <c r="AA334" s="585"/>
    </row>
    <row r="335" spans="1:27">
      <c r="A335" s="43"/>
      <c r="C335" s="43"/>
      <c r="D335" s="43"/>
      <c r="E335" s="43"/>
      <c r="F335" s="43"/>
      <c r="G335" s="43"/>
      <c r="H335" s="43"/>
      <c r="I335" s="43"/>
      <c r="J335" s="43"/>
      <c r="K335" s="43"/>
      <c r="L335" s="43"/>
      <c r="M335" s="43"/>
      <c r="N335" s="43"/>
      <c r="O335" s="43"/>
      <c r="Q335" s="43"/>
      <c r="U335" s="606"/>
      <c r="AA335" s="585"/>
    </row>
    <row r="336" spans="1:27">
      <c r="A336" s="43"/>
      <c r="C336" s="43"/>
      <c r="D336" s="43"/>
      <c r="E336" s="43"/>
      <c r="F336" s="43"/>
      <c r="G336" s="43"/>
      <c r="H336" s="43"/>
      <c r="I336" s="43"/>
      <c r="J336" s="43"/>
      <c r="K336" s="43"/>
      <c r="L336" s="43"/>
      <c r="M336" s="43"/>
      <c r="N336" s="43"/>
      <c r="O336" s="43"/>
      <c r="Q336" s="43"/>
      <c r="U336" s="606"/>
      <c r="AA336" s="585"/>
    </row>
    <row r="337" spans="1:27">
      <c r="A337" s="43"/>
      <c r="C337" s="43"/>
      <c r="D337" s="43"/>
      <c r="E337" s="43"/>
      <c r="F337" s="43"/>
      <c r="G337" s="43"/>
      <c r="H337" s="43"/>
      <c r="I337" s="43"/>
      <c r="J337" s="43"/>
      <c r="K337" s="43"/>
      <c r="L337" s="43"/>
      <c r="M337" s="43"/>
      <c r="N337" s="43"/>
      <c r="O337" s="43"/>
      <c r="Q337" s="43"/>
      <c r="U337" s="606"/>
      <c r="AA337" s="585"/>
    </row>
    <row r="338" spans="1:27">
      <c r="A338" s="43"/>
      <c r="C338" s="43"/>
      <c r="D338" s="43"/>
      <c r="E338" s="43"/>
      <c r="F338" s="43"/>
      <c r="G338" s="43"/>
      <c r="H338" s="43"/>
      <c r="I338" s="43"/>
      <c r="J338" s="43"/>
      <c r="K338" s="43"/>
      <c r="L338" s="43"/>
      <c r="M338" s="43"/>
      <c r="N338" s="43"/>
      <c r="O338" s="43"/>
      <c r="Q338" s="43"/>
      <c r="U338" s="606"/>
      <c r="AA338" s="585"/>
    </row>
    <row r="339" spans="1:27">
      <c r="A339" s="43"/>
      <c r="C339" s="43"/>
      <c r="D339" s="43"/>
      <c r="E339" s="43"/>
      <c r="F339" s="43"/>
      <c r="G339" s="43"/>
      <c r="H339" s="43"/>
      <c r="I339" s="43"/>
      <c r="J339" s="43"/>
      <c r="K339" s="43"/>
      <c r="L339" s="43"/>
      <c r="M339" s="43"/>
      <c r="N339" s="43"/>
      <c r="O339" s="43"/>
      <c r="Q339" s="43"/>
      <c r="U339" s="606"/>
      <c r="AA339" s="585"/>
    </row>
    <row r="340" spans="1:27">
      <c r="A340" s="43"/>
      <c r="C340" s="43"/>
      <c r="D340" s="43"/>
      <c r="E340" s="43"/>
      <c r="F340" s="43"/>
      <c r="G340" s="43"/>
      <c r="H340" s="43"/>
      <c r="I340" s="43"/>
      <c r="J340" s="43"/>
      <c r="K340" s="43"/>
      <c r="L340" s="43"/>
      <c r="M340" s="43"/>
      <c r="N340" s="43"/>
      <c r="O340" s="43"/>
      <c r="Q340" s="43"/>
      <c r="U340" s="606"/>
      <c r="AA340" s="585"/>
    </row>
    <row r="341" spans="1:27">
      <c r="A341" s="43"/>
      <c r="C341" s="43"/>
      <c r="D341" s="43"/>
      <c r="E341" s="43"/>
      <c r="F341" s="43"/>
      <c r="G341" s="43"/>
      <c r="H341" s="43"/>
      <c r="I341" s="43"/>
      <c r="J341" s="43"/>
      <c r="K341" s="43"/>
      <c r="L341" s="43"/>
      <c r="M341" s="43"/>
      <c r="N341" s="43"/>
      <c r="O341" s="43"/>
      <c r="Q341" s="43"/>
      <c r="U341" s="606"/>
      <c r="AA341" s="585"/>
    </row>
    <row r="342" spans="1:27">
      <c r="A342" s="43"/>
      <c r="C342" s="43"/>
      <c r="D342" s="43"/>
      <c r="E342" s="43"/>
      <c r="F342" s="43"/>
      <c r="G342" s="43"/>
      <c r="H342" s="43"/>
      <c r="I342" s="43"/>
      <c r="J342" s="43"/>
      <c r="K342" s="43"/>
      <c r="L342" s="43"/>
      <c r="M342" s="43"/>
      <c r="N342" s="43"/>
      <c r="O342" s="43"/>
      <c r="Q342" s="43"/>
      <c r="U342" s="606"/>
    </row>
    <row r="343" spans="1:27">
      <c r="A343" s="43"/>
      <c r="C343" s="43"/>
      <c r="D343" s="43"/>
      <c r="E343" s="43"/>
      <c r="F343" s="43"/>
      <c r="G343" s="43"/>
      <c r="H343" s="43"/>
      <c r="I343" s="43"/>
      <c r="J343" s="43"/>
      <c r="K343" s="43"/>
      <c r="L343" s="43"/>
      <c r="M343" s="43"/>
      <c r="N343" s="43"/>
      <c r="O343" s="43"/>
      <c r="Q343" s="43"/>
      <c r="U343" s="606"/>
    </row>
    <row r="344" spans="1:27">
      <c r="A344" s="43"/>
      <c r="C344" s="43"/>
      <c r="D344" s="43"/>
      <c r="E344" s="43"/>
      <c r="F344" s="43"/>
      <c r="G344" s="43"/>
      <c r="H344" s="43"/>
      <c r="I344" s="43"/>
      <c r="J344" s="43"/>
      <c r="K344" s="43"/>
      <c r="L344" s="43"/>
      <c r="M344" s="43"/>
      <c r="N344" s="43"/>
      <c r="O344" s="43"/>
      <c r="Q344" s="43"/>
      <c r="U344" s="606"/>
    </row>
    <row r="345" spans="1:27">
      <c r="A345" s="43"/>
      <c r="C345" s="43"/>
      <c r="D345" s="43"/>
      <c r="E345" s="43"/>
      <c r="F345" s="43"/>
      <c r="G345" s="43"/>
      <c r="H345" s="43"/>
      <c r="I345" s="43"/>
      <c r="J345" s="43"/>
      <c r="K345" s="43"/>
      <c r="L345" s="43"/>
      <c r="M345" s="43"/>
      <c r="N345" s="43"/>
      <c r="O345" s="43"/>
      <c r="Q345" s="43"/>
      <c r="U345" s="606"/>
    </row>
    <row r="346" spans="1:27">
      <c r="A346" s="43"/>
      <c r="C346" s="43"/>
      <c r="D346" s="43"/>
      <c r="E346" s="43"/>
      <c r="F346" s="43"/>
      <c r="G346" s="43"/>
      <c r="H346" s="43"/>
      <c r="I346" s="43"/>
      <c r="J346" s="43"/>
      <c r="K346" s="43"/>
      <c r="L346" s="43"/>
      <c r="M346" s="43"/>
      <c r="N346" s="43"/>
      <c r="O346" s="43"/>
      <c r="Q346" s="43"/>
      <c r="U346" s="606"/>
    </row>
    <row r="347" spans="1:27">
      <c r="A347" s="43"/>
      <c r="C347" s="43"/>
      <c r="D347" s="43"/>
      <c r="E347" s="43"/>
      <c r="F347" s="43"/>
      <c r="G347" s="43"/>
      <c r="H347" s="43"/>
      <c r="I347" s="43"/>
      <c r="J347" s="43"/>
      <c r="K347" s="43"/>
      <c r="L347" s="43"/>
      <c r="M347" s="43"/>
      <c r="N347" s="43"/>
      <c r="O347" s="43"/>
      <c r="Q347" s="43"/>
      <c r="U347" s="606"/>
    </row>
    <row r="348" spans="1:27">
      <c r="A348" s="43"/>
      <c r="C348" s="43"/>
      <c r="D348" s="43"/>
      <c r="E348" s="43"/>
      <c r="F348" s="43"/>
      <c r="G348" s="43"/>
      <c r="H348" s="43"/>
      <c r="I348" s="43"/>
      <c r="J348" s="43"/>
      <c r="K348" s="43"/>
      <c r="L348" s="43"/>
      <c r="M348" s="43"/>
      <c r="N348" s="43"/>
      <c r="O348" s="43"/>
      <c r="Q348" s="43"/>
      <c r="U348" s="606"/>
    </row>
    <row r="349" spans="1:27">
      <c r="A349" s="43"/>
      <c r="C349" s="43"/>
      <c r="D349" s="43"/>
      <c r="E349" s="43"/>
      <c r="F349" s="43"/>
      <c r="G349" s="43"/>
      <c r="H349" s="43"/>
      <c r="I349" s="43"/>
      <c r="J349" s="43"/>
      <c r="K349" s="43"/>
      <c r="L349" s="43"/>
      <c r="M349" s="43"/>
      <c r="N349" s="43"/>
      <c r="O349" s="43"/>
      <c r="Q349" s="43"/>
      <c r="U349" s="606"/>
    </row>
    <row r="350" spans="1:27">
      <c r="A350" s="43"/>
      <c r="C350" s="43"/>
      <c r="D350" s="43"/>
      <c r="E350" s="43"/>
      <c r="F350" s="43"/>
      <c r="G350" s="43"/>
      <c r="H350" s="43"/>
      <c r="I350" s="43"/>
      <c r="J350" s="43"/>
      <c r="K350" s="43"/>
      <c r="L350" s="43"/>
      <c r="M350" s="43"/>
      <c r="N350" s="43"/>
      <c r="O350" s="43"/>
      <c r="Q350" s="43"/>
      <c r="U350" s="606"/>
    </row>
    <row r="351" spans="1:27">
      <c r="A351" s="43"/>
      <c r="C351" s="43"/>
      <c r="D351" s="43"/>
      <c r="E351" s="43"/>
      <c r="F351" s="43"/>
      <c r="G351" s="43"/>
      <c r="H351" s="43"/>
      <c r="I351" s="43"/>
      <c r="J351" s="43"/>
      <c r="K351" s="43"/>
      <c r="L351" s="43"/>
      <c r="M351" s="43"/>
      <c r="N351" s="43"/>
      <c r="O351" s="43"/>
      <c r="Q351" s="43"/>
      <c r="U351" s="606"/>
    </row>
    <row r="352" spans="1:27">
      <c r="A352" s="43"/>
      <c r="C352" s="43"/>
      <c r="D352" s="43"/>
      <c r="E352" s="43"/>
      <c r="F352" s="43"/>
      <c r="G352" s="43"/>
      <c r="H352" s="43"/>
      <c r="I352" s="43"/>
      <c r="J352" s="43"/>
      <c r="K352" s="43"/>
      <c r="L352" s="43"/>
      <c r="M352" s="43"/>
      <c r="N352" s="43"/>
      <c r="O352" s="43"/>
      <c r="Q352" s="43"/>
      <c r="U352" s="606"/>
    </row>
    <row r="353" spans="1:21">
      <c r="A353" s="43"/>
      <c r="C353" s="43"/>
      <c r="D353" s="43"/>
      <c r="E353" s="43"/>
      <c r="F353" s="43"/>
      <c r="G353" s="43"/>
      <c r="H353" s="43"/>
      <c r="I353" s="43"/>
      <c r="J353" s="43"/>
      <c r="K353" s="43"/>
      <c r="L353" s="43"/>
      <c r="M353" s="43"/>
      <c r="N353" s="43"/>
      <c r="O353" s="43"/>
      <c r="Q353" s="43"/>
      <c r="U353" s="606"/>
    </row>
    <row r="354" spans="1:21">
      <c r="A354" s="43"/>
      <c r="C354" s="43"/>
      <c r="D354" s="43"/>
      <c r="E354" s="43"/>
      <c r="F354" s="43"/>
      <c r="G354" s="43"/>
      <c r="H354" s="43"/>
      <c r="I354" s="43"/>
      <c r="J354" s="43"/>
      <c r="K354" s="43"/>
      <c r="L354" s="43"/>
      <c r="M354" s="43"/>
      <c r="N354" s="43"/>
      <c r="O354" s="43"/>
      <c r="Q354" s="43"/>
      <c r="U354" s="606"/>
    </row>
    <row r="355" spans="1:21">
      <c r="A355" s="43"/>
      <c r="C355" s="43"/>
      <c r="D355" s="43"/>
      <c r="E355" s="43"/>
      <c r="F355" s="43"/>
      <c r="G355" s="43"/>
      <c r="H355" s="43"/>
      <c r="I355" s="43"/>
      <c r="J355" s="43"/>
      <c r="K355" s="43"/>
      <c r="L355" s="43"/>
      <c r="M355" s="43"/>
      <c r="N355" s="43"/>
      <c r="O355" s="43"/>
      <c r="Q355" s="43"/>
      <c r="U355" s="606"/>
    </row>
    <row r="356" spans="1:21">
      <c r="A356" s="43"/>
      <c r="C356" s="43"/>
      <c r="D356" s="43"/>
      <c r="E356" s="43"/>
      <c r="F356" s="43"/>
      <c r="G356" s="43"/>
      <c r="H356" s="43"/>
      <c r="I356" s="43"/>
      <c r="J356" s="43"/>
      <c r="K356" s="43"/>
      <c r="L356" s="43"/>
      <c r="M356" s="43"/>
      <c r="N356" s="43"/>
      <c r="O356" s="43"/>
      <c r="Q356" s="43"/>
      <c r="U356" s="606"/>
    </row>
    <row r="357" spans="1:21">
      <c r="A357" s="43"/>
      <c r="C357" s="43"/>
      <c r="D357" s="43"/>
      <c r="E357" s="43"/>
      <c r="F357" s="43"/>
      <c r="G357" s="43"/>
      <c r="H357" s="43"/>
      <c r="I357" s="43"/>
      <c r="J357" s="43"/>
      <c r="K357" s="43"/>
      <c r="L357" s="43"/>
      <c r="M357" s="43"/>
      <c r="N357" s="43"/>
      <c r="O357" s="43"/>
      <c r="Q357" s="43"/>
      <c r="U357" s="606"/>
    </row>
    <row r="358" spans="1:21">
      <c r="A358" s="43"/>
      <c r="C358" s="43"/>
      <c r="D358" s="43"/>
      <c r="E358" s="43"/>
      <c r="F358" s="43"/>
      <c r="G358" s="43"/>
      <c r="H358" s="43"/>
      <c r="I358" s="43"/>
      <c r="J358" s="43"/>
      <c r="K358" s="43"/>
      <c r="L358" s="43"/>
      <c r="M358" s="43"/>
      <c r="N358" s="43"/>
      <c r="O358" s="43"/>
      <c r="Q358" s="43"/>
      <c r="U358" s="606"/>
    </row>
    <row r="359" spans="1:21">
      <c r="A359" s="43"/>
      <c r="C359" s="43"/>
      <c r="D359" s="43"/>
      <c r="E359" s="43"/>
      <c r="F359" s="43"/>
      <c r="G359" s="43"/>
      <c r="H359" s="43"/>
      <c r="I359" s="43"/>
      <c r="J359" s="43"/>
      <c r="K359" s="43"/>
      <c r="L359" s="43"/>
      <c r="M359" s="43"/>
      <c r="N359" s="43"/>
      <c r="O359" s="43"/>
      <c r="Q359" s="43"/>
      <c r="U359" s="606"/>
    </row>
    <row r="360" spans="1:21">
      <c r="A360" s="43"/>
      <c r="C360" s="43"/>
      <c r="D360" s="43"/>
      <c r="E360" s="43"/>
      <c r="F360" s="43"/>
      <c r="G360" s="43"/>
      <c r="H360" s="43"/>
      <c r="I360" s="43"/>
      <c r="J360" s="43"/>
      <c r="K360" s="43"/>
      <c r="L360" s="43"/>
      <c r="M360" s="43"/>
      <c r="N360" s="43"/>
      <c r="O360" s="43"/>
      <c r="Q360" s="43"/>
      <c r="U360" s="606"/>
    </row>
    <row r="361" spans="1:21">
      <c r="A361" s="43"/>
      <c r="C361" s="43"/>
      <c r="D361" s="43"/>
      <c r="E361" s="43"/>
      <c r="F361" s="43"/>
      <c r="G361" s="43"/>
      <c r="H361" s="43"/>
      <c r="I361" s="43"/>
      <c r="J361" s="43"/>
      <c r="K361" s="43"/>
      <c r="L361" s="43"/>
      <c r="M361" s="43"/>
      <c r="N361" s="43"/>
      <c r="O361" s="43"/>
      <c r="Q361" s="43"/>
      <c r="U361" s="606"/>
    </row>
    <row r="362" spans="1:21">
      <c r="A362" s="43"/>
      <c r="C362" s="43"/>
      <c r="D362" s="43"/>
      <c r="E362" s="43"/>
      <c r="F362" s="43"/>
      <c r="G362" s="43"/>
      <c r="H362" s="43"/>
      <c r="I362" s="43"/>
      <c r="J362" s="43"/>
      <c r="K362" s="43"/>
      <c r="L362" s="43"/>
      <c r="M362" s="43"/>
      <c r="N362" s="43"/>
      <c r="O362" s="43"/>
      <c r="Q362" s="43"/>
      <c r="U362" s="606"/>
    </row>
    <row r="363" spans="1:21">
      <c r="A363" s="43"/>
      <c r="C363" s="43"/>
      <c r="D363" s="43"/>
      <c r="E363" s="43"/>
      <c r="F363" s="43"/>
      <c r="G363" s="43"/>
      <c r="H363" s="43"/>
      <c r="I363" s="43"/>
      <c r="J363" s="43"/>
      <c r="K363" s="43"/>
      <c r="L363" s="43"/>
      <c r="M363" s="43"/>
      <c r="N363" s="43"/>
      <c r="O363" s="43"/>
      <c r="Q363" s="43"/>
      <c r="U363" s="606"/>
    </row>
    <row r="364" spans="1:21">
      <c r="A364" s="43"/>
      <c r="C364" s="43"/>
      <c r="D364" s="43"/>
      <c r="E364" s="43"/>
      <c r="F364" s="43"/>
      <c r="G364" s="43"/>
      <c r="H364" s="43"/>
      <c r="I364" s="43"/>
      <c r="J364" s="43"/>
      <c r="K364" s="43"/>
      <c r="L364" s="43"/>
      <c r="M364" s="43"/>
      <c r="N364" s="43"/>
      <c r="O364" s="43"/>
      <c r="Q364" s="43"/>
      <c r="U364" s="606"/>
    </row>
    <row r="365" spans="1:21">
      <c r="A365" s="43"/>
      <c r="C365" s="43"/>
      <c r="D365" s="43"/>
      <c r="E365" s="43"/>
      <c r="F365" s="43"/>
      <c r="G365" s="43"/>
      <c r="H365" s="43"/>
      <c r="I365" s="43"/>
      <c r="J365" s="43"/>
      <c r="K365" s="43"/>
      <c r="L365" s="43"/>
      <c r="M365" s="43"/>
      <c r="N365" s="43"/>
      <c r="O365" s="43"/>
      <c r="Q365" s="43"/>
      <c r="U365" s="606"/>
    </row>
    <row r="366" spans="1:21">
      <c r="A366" s="43"/>
      <c r="C366" s="43"/>
      <c r="D366" s="43"/>
      <c r="E366" s="43"/>
      <c r="F366" s="43"/>
      <c r="G366" s="43"/>
      <c r="H366" s="43"/>
      <c r="I366" s="43"/>
      <c r="J366" s="43"/>
      <c r="K366" s="43"/>
      <c r="L366" s="43"/>
      <c r="M366" s="43"/>
      <c r="N366" s="43"/>
      <c r="O366" s="43"/>
      <c r="Q366" s="43"/>
      <c r="U366" s="606"/>
    </row>
    <row r="367" spans="1:21">
      <c r="A367" s="43"/>
      <c r="C367" s="43"/>
      <c r="D367" s="43"/>
      <c r="E367" s="43"/>
      <c r="F367" s="43"/>
      <c r="G367" s="43"/>
      <c r="H367" s="43"/>
      <c r="I367" s="43"/>
      <c r="J367" s="43"/>
      <c r="K367" s="43"/>
      <c r="L367" s="43"/>
      <c r="M367" s="43"/>
      <c r="N367" s="43"/>
      <c r="O367" s="43"/>
      <c r="Q367" s="43"/>
      <c r="U367" s="606"/>
    </row>
    <row r="368" spans="1:21">
      <c r="A368" s="43"/>
      <c r="C368" s="43"/>
      <c r="D368" s="43"/>
      <c r="E368" s="43"/>
      <c r="F368" s="43"/>
      <c r="G368" s="43"/>
      <c r="H368" s="43"/>
      <c r="I368" s="43"/>
      <c r="J368" s="43"/>
      <c r="K368" s="43"/>
      <c r="L368" s="43"/>
      <c r="M368" s="43"/>
      <c r="N368" s="43"/>
      <c r="O368" s="43"/>
      <c r="Q368" s="43"/>
      <c r="U368" s="606"/>
    </row>
    <row r="369" spans="1:21">
      <c r="A369" s="43"/>
      <c r="C369" s="43"/>
      <c r="D369" s="43"/>
      <c r="E369" s="43"/>
      <c r="F369" s="43"/>
      <c r="G369" s="43"/>
      <c r="H369" s="43"/>
      <c r="I369" s="43"/>
      <c r="J369" s="43"/>
      <c r="K369" s="43"/>
      <c r="L369" s="43"/>
      <c r="M369" s="43"/>
      <c r="N369" s="43"/>
      <c r="O369" s="43"/>
      <c r="Q369" s="43"/>
      <c r="U369" s="606"/>
    </row>
    <row r="370" spans="1:21">
      <c r="A370" s="43"/>
      <c r="C370" s="43"/>
      <c r="D370" s="43"/>
      <c r="E370" s="43"/>
      <c r="F370" s="43"/>
      <c r="G370" s="43"/>
      <c r="H370" s="43"/>
      <c r="I370" s="43"/>
      <c r="J370" s="43"/>
      <c r="K370" s="43"/>
      <c r="L370" s="43"/>
      <c r="M370" s="43"/>
      <c r="N370" s="43"/>
      <c r="O370" s="43"/>
      <c r="Q370" s="43"/>
      <c r="U370" s="606"/>
    </row>
    <row r="371" spans="1:21">
      <c r="A371" s="43"/>
      <c r="C371" s="43"/>
      <c r="D371" s="43"/>
      <c r="E371" s="43"/>
      <c r="F371" s="43"/>
      <c r="G371" s="43"/>
      <c r="H371" s="43"/>
      <c r="I371" s="43"/>
      <c r="J371" s="43"/>
      <c r="K371" s="43"/>
      <c r="L371" s="43"/>
      <c r="M371" s="43"/>
      <c r="N371" s="43"/>
      <c r="O371" s="43"/>
      <c r="Q371" s="43"/>
      <c r="U371" s="606"/>
    </row>
    <row r="372" spans="1:21">
      <c r="A372" s="43"/>
      <c r="C372" s="43"/>
      <c r="D372" s="43"/>
      <c r="E372" s="43"/>
      <c r="F372" s="43"/>
      <c r="G372" s="43"/>
      <c r="H372" s="43"/>
      <c r="I372" s="43"/>
      <c r="J372" s="43"/>
      <c r="K372" s="43"/>
      <c r="L372" s="43"/>
      <c r="M372" s="43"/>
      <c r="N372" s="43"/>
      <c r="O372" s="43"/>
      <c r="Q372" s="43"/>
      <c r="U372" s="606"/>
    </row>
    <row r="373" spans="1:21">
      <c r="A373" s="43"/>
      <c r="C373" s="43"/>
      <c r="D373" s="43"/>
      <c r="E373" s="43"/>
      <c r="F373" s="43"/>
      <c r="G373" s="43"/>
      <c r="H373" s="43"/>
      <c r="I373" s="43"/>
      <c r="J373" s="43"/>
      <c r="K373" s="43"/>
      <c r="L373" s="43"/>
      <c r="M373" s="43"/>
      <c r="N373" s="43"/>
      <c r="O373" s="43"/>
      <c r="Q373" s="43"/>
      <c r="U373" s="606"/>
    </row>
    <row r="374" spans="1:21">
      <c r="A374" s="43"/>
      <c r="C374" s="43"/>
      <c r="D374" s="43"/>
      <c r="E374" s="43"/>
      <c r="F374" s="43"/>
      <c r="G374" s="43"/>
      <c r="H374" s="43"/>
      <c r="I374" s="43"/>
      <c r="J374" s="43"/>
      <c r="K374" s="43"/>
      <c r="L374" s="43"/>
      <c r="M374" s="43"/>
      <c r="N374" s="43"/>
      <c r="O374" s="43"/>
      <c r="Q374" s="43"/>
      <c r="U374" s="606"/>
    </row>
    <row r="375" spans="1:21">
      <c r="A375" s="43"/>
      <c r="C375" s="43"/>
      <c r="D375" s="43"/>
      <c r="E375" s="43"/>
      <c r="F375" s="43"/>
      <c r="G375" s="43"/>
      <c r="H375" s="43"/>
      <c r="I375" s="43"/>
      <c r="J375" s="43"/>
      <c r="K375" s="43"/>
      <c r="L375" s="43"/>
      <c r="M375" s="43"/>
      <c r="N375" s="43"/>
      <c r="O375" s="43"/>
      <c r="Q375" s="43"/>
      <c r="U375" s="606"/>
    </row>
    <row r="376" spans="1:21">
      <c r="A376" s="43"/>
      <c r="C376" s="43"/>
      <c r="D376" s="43"/>
      <c r="E376" s="43"/>
      <c r="F376" s="43"/>
      <c r="G376" s="43"/>
      <c r="H376" s="43"/>
      <c r="I376" s="43"/>
      <c r="J376" s="43"/>
      <c r="K376" s="43"/>
      <c r="L376" s="43"/>
      <c r="M376" s="43"/>
      <c r="N376" s="43"/>
      <c r="O376" s="43"/>
      <c r="Q376" s="43"/>
      <c r="U376" s="606"/>
    </row>
    <row r="377" spans="1:21">
      <c r="A377" s="43"/>
      <c r="C377" s="43"/>
      <c r="D377" s="43"/>
      <c r="E377" s="43"/>
      <c r="F377" s="43"/>
      <c r="G377" s="43"/>
      <c r="H377" s="43"/>
      <c r="I377" s="43"/>
      <c r="J377" s="43"/>
      <c r="K377" s="43"/>
      <c r="L377" s="43"/>
      <c r="M377" s="43"/>
      <c r="N377" s="43"/>
      <c r="O377" s="43"/>
      <c r="Q377" s="43"/>
      <c r="U377" s="606"/>
    </row>
    <row r="378" spans="1:21">
      <c r="A378" s="43"/>
      <c r="C378" s="43"/>
      <c r="D378" s="43"/>
      <c r="E378" s="43"/>
      <c r="F378" s="43"/>
      <c r="G378" s="43"/>
      <c r="H378" s="43"/>
      <c r="I378" s="43"/>
      <c r="J378" s="43"/>
      <c r="K378" s="43"/>
      <c r="L378" s="43"/>
      <c r="M378" s="43"/>
      <c r="N378" s="43"/>
      <c r="O378" s="43"/>
      <c r="Q378" s="43"/>
      <c r="U378" s="606"/>
    </row>
    <row r="379" spans="1:21">
      <c r="A379" s="43"/>
      <c r="C379" s="43"/>
      <c r="D379" s="43"/>
      <c r="E379" s="43"/>
      <c r="F379" s="43"/>
      <c r="G379" s="43"/>
      <c r="H379" s="43"/>
      <c r="I379" s="43"/>
      <c r="J379" s="43"/>
      <c r="K379" s="43"/>
      <c r="L379" s="43"/>
      <c r="M379" s="43"/>
      <c r="N379" s="43"/>
      <c r="O379" s="43"/>
      <c r="Q379" s="43"/>
      <c r="U379" s="606"/>
    </row>
    <row r="380" spans="1:21">
      <c r="A380" s="43"/>
      <c r="C380" s="43"/>
      <c r="D380" s="43"/>
      <c r="E380" s="43"/>
      <c r="F380" s="43"/>
      <c r="G380" s="43"/>
      <c r="H380" s="43"/>
      <c r="I380" s="43"/>
      <c r="J380" s="43"/>
      <c r="K380" s="43"/>
      <c r="L380" s="43"/>
      <c r="M380" s="43"/>
      <c r="N380" s="43"/>
      <c r="O380" s="43"/>
      <c r="Q380" s="43"/>
      <c r="U380" s="606"/>
    </row>
    <row r="381" spans="1:21">
      <c r="A381" s="43"/>
      <c r="C381" s="43"/>
      <c r="D381" s="43"/>
      <c r="E381" s="43"/>
      <c r="F381" s="43"/>
      <c r="G381" s="43"/>
      <c r="H381" s="43"/>
      <c r="I381" s="43"/>
      <c r="J381" s="43"/>
      <c r="K381" s="43"/>
      <c r="L381" s="43"/>
      <c r="M381" s="43"/>
      <c r="N381" s="43"/>
      <c r="O381" s="43"/>
      <c r="Q381" s="43"/>
      <c r="U381" s="606"/>
    </row>
    <row r="382" spans="1:21">
      <c r="A382" s="43"/>
      <c r="C382" s="43"/>
      <c r="D382" s="43"/>
      <c r="E382" s="43"/>
      <c r="F382" s="43"/>
      <c r="G382" s="43"/>
      <c r="H382" s="43"/>
      <c r="I382" s="43"/>
      <c r="J382" s="43"/>
      <c r="K382" s="43"/>
      <c r="L382" s="43"/>
      <c r="M382" s="43"/>
      <c r="N382" s="43"/>
      <c r="O382" s="43"/>
      <c r="Q382" s="43"/>
      <c r="U382" s="606"/>
    </row>
    <row r="383" spans="1:21">
      <c r="A383" s="43"/>
      <c r="C383" s="43"/>
      <c r="D383" s="43"/>
      <c r="E383" s="43"/>
      <c r="F383" s="43"/>
      <c r="G383" s="43"/>
      <c r="H383" s="43"/>
      <c r="I383" s="43"/>
      <c r="J383" s="43"/>
      <c r="K383" s="43"/>
      <c r="L383" s="43"/>
      <c r="M383" s="43"/>
      <c r="N383" s="43"/>
      <c r="O383" s="43"/>
      <c r="Q383" s="43"/>
      <c r="U383" s="606"/>
    </row>
    <row r="384" spans="1:21">
      <c r="A384" s="43"/>
      <c r="C384" s="43"/>
      <c r="D384" s="43"/>
      <c r="E384" s="43"/>
      <c r="F384" s="43"/>
      <c r="G384" s="43"/>
      <c r="H384" s="43"/>
      <c r="I384" s="43"/>
      <c r="J384" s="43"/>
      <c r="K384" s="43"/>
      <c r="L384" s="43"/>
      <c r="M384" s="43"/>
      <c r="N384" s="43"/>
      <c r="O384" s="43"/>
      <c r="Q384" s="43"/>
      <c r="U384" s="606"/>
    </row>
    <row r="385" spans="1:21">
      <c r="A385" s="43"/>
      <c r="C385" s="43"/>
      <c r="D385" s="43"/>
      <c r="E385" s="43"/>
      <c r="F385" s="43"/>
      <c r="G385" s="43"/>
      <c r="H385" s="43"/>
      <c r="I385" s="43"/>
      <c r="J385" s="43"/>
      <c r="K385" s="43"/>
      <c r="L385" s="43"/>
      <c r="M385" s="43"/>
      <c r="N385" s="43"/>
      <c r="O385" s="43"/>
      <c r="Q385" s="43"/>
      <c r="U385" s="606"/>
    </row>
    <row r="386" spans="1:21">
      <c r="A386" s="43"/>
      <c r="C386" s="43"/>
      <c r="D386" s="43"/>
      <c r="E386" s="43"/>
      <c r="F386" s="43"/>
      <c r="G386" s="43"/>
      <c r="H386" s="43"/>
      <c r="I386" s="43"/>
      <c r="J386" s="43"/>
      <c r="K386" s="43"/>
      <c r="L386" s="43"/>
      <c r="M386" s="43"/>
      <c r="N386" s="43"/>
      <c r="O386" s="43"/>
      <c r="Q386" s="43"/>
      <c r="U386" s="606"/>
    </row>
    <row r="387" spans="1:21">
      <c r="A387" s="43"/>
      <c r="C387" s="43"/>
      <c r="D387" s="43"/>
      <c r="E387" s="43"/>
      <c r="F387" s="43"/>
      <c r="G387" s="43"/>
      <c r="H387" s="43"/>
      <c r="I387" s="43"/>
      <c r="J387" s="43"/>
      <c r="K387" s="43"/>
      <c r="L387" s="43"/>
      <c r="M387" s="43"/>
      <c r="N387" s="43"/>
      <c r="O387" s="43"/>
      <c r="Q387" s="43"/>
      <c r="U387" s="606"/>
    </row>
    <row r="388" spans="1:21">
      <c r="A388" s="43"/>
      <c r="C388" s="43"/>
      <c r="D388" s="43"/>
      <c r="E388" s="43"/>
      <c r="F388" s="43"/>
      <c r="G388" s="43"/>
      <c r="H388" s="43"/>
      <c r="I388" s="43"/>
      <c r="J388" s="43"/>
      <c r="K388" s="43"/>
      <c r="L388" s="43"/>
      <c r="M388" s="43"/>
      <c r="N388" s="43"/>
      <c r="O388" s="43"/>
      <c r="Q388" s="43"/>
      <c r="U388" s="606"/>
    </row>
    <row r="389" spans="1:21">
      <c r="A389" s="43"/>
      <c r="C389" s="43"/>
      <c r="D389" s="43"/>
      <c r="E389" s="43"/>
      <c r="F389" s="43"/>
      <c r="G389" s="43"/>
      <c r="H389" s="43"/>
      <c r="I389" s="43"/>
      <c r="J389" s="43"/>
      <c r="K389" s="43"/>
      <c r="L389" s="43"/>
      <c r="M389" s="43"/>
      <c r="N389" s="43"/>
      <c r="O389" s="43"/>
      <c r="Q389" s="43"/>
      <c r="U389" s="606"/>
    </row>
    <row r="390" spans="1:21">
      <c r="A390" s="43"/>
      <c r="C390" s="43"/>
      <c r="D390" s="43"/>
      <c r="E390" s="43"/>
      <c r="F390" s="43"/>
      <c r="G390" s="43"/>
      <c r="H390" s="43"/>
      <c r="I390" s="43"/>
      <c r="J390" s="43"/>
      <c r="K390" s="43"/>
      <c r="L390" s="43"/>
      <c r="M390" s="43"/>
      <c r="N390" s="43"/>
      <c r="O390" s="43"/>
      <c r="Q390" s="43"/>
      <c r="U390" s="606"/>
    </row>
    <row r="391" spans="1:21">
      <c r="A391" s="43"/>
      <c r="C391" s="43"/>
      <c r="D391" s="43"/>
      <c r="E391" s="43"/>
      <c r="F391" s="43"/>
      <c r="G391" s="43"/>
      <c r="H391" s="43"/>
      <c r="I391" s="43"/>
      <c r="J391" s="43"/>
      <c r="K391" s="43"/>
      <c r="L391" s="43"/>
      <c r="M391" s="43"/>
      <c r="N391" s="43"/>
      <c r="O391" s="43"/>
      <c r="Q391" s="43"/>
      <c r="U391" s="606"/>
    </row>
    <row r="392" spans="1:21">
      <c r="A392" s="43"/>
      <c r="C392" s="43"/>
      <c r="D392" s="43"/>
      <c r="E392" s="43"/>
      <c r="F392" s="43"/>
      <c r="G392" s="43"/>
      <c r="H392" s="43"/>
      <c r="I392" s="43"/>
      <c r="J392" s="43"/>
      <c r="K392" s="43"/>
      <c r="L392" s="43"/>
      <c r="M392" s="43"/>
      <c r="N392" s="43"/>
      <c r="O392" s="43"/>
      <c r="Q392" s="43"/>
      <c r="U392" s="606"/>
    </row>
    <row r="393" spans="1:21">
      <c r="A393" s="43"/>
      <c r="C393" s="43"/>
      <c r="D393" s="43"/>
      <c r="E393" s="43"/>
      <c r="F393" s="43"/>
      <c r="G393" s="43"/>
      <c r="H393" s="43"/>
      <c r="I393" s="43"/>
      <c r="J393" s="43"/>
      <c r="K393" s="43"/>
      <c r="L393" s="43"/>
      <c r="M393" s="43"/>
      <c r="N393" s="43"/>
      <c r="O393" s="43"/>
      <c r="Q393" s="43"/>
      <c r="U393" s="606"/>
    </row>
    <row r="394" spans="1:21">
      <c r="A394" s="43"/>
      <c r="C394" s="43"/>
      <c r="D394" s="43"/>
      <c r="E394" s="43"/>
      <c r="F394" s="43"/>
      <c r="G394" s="43"/>
      <c r="H394" s="43"/>
      <c r="I394" s="43"/>
      <c r="J394" s="43"/>
      <c r="K394" s="43"/>
      <c r="L394" s="43"/>
      <c r="M394" s="43"/>
      <c r="N394" s="43"/>
      <c r="O394" s="43"/>
      <c r="Q394" s="43"/>
      <c r="U394" s="606"/>
    </row>
    <row r="395" spans="1:21">
      <c r="A395" s="43"/>
      <c r="C395" s="43"/>
      <c r="D395" s="43"/>
      <c r="E395" s="43"/>
      <c r="F395" s="43"/>
      <c r="G395" s="43"/>
      <c r="H395" s="43"/>
      <c r="I395" s="43"/>
      <c r="J395" s="43"/>
      <c r="K395" s="43"/>
      <c r="L395" s="43"/>
      <c r="M395" s="43"/>
      <c r="N395" s="43"/>
      <c r="O395" s="43"/>
      <c r="Q395" s="43"/>
      <c r="U395" s="606"/>
    </row>
    <row r="396" spans="1:21">
      <c r="A396" s="43"/>
      <c r="C396" s="43"/>
      <c r="D396" s="43"/>
      <c r="E396" s="43"/>
      <c r="F396" s="43"/>
      <c r="G396" s="43"/>
      <c r="H396" s="43"/>
      <c r="I396" s="43"/>
      <c r="J396" s="43"/>
      <c r="K396" s="43"/>
      <c r="L396" s="43"/>
      <c r="M396" s="43"/>
      <c r="N396" s="43"/>
      <c r="O396" s="43"/>
      <c r="Q396" s="43"/>
      <c r="U396" s="606"/>
    </row>
    <row r="397" spans="1:21">
      <c r="A397" s="43"/>
      <c r="C397" s="43"/>
      <c r="D397" s="43"/>
      <c r="E397" s="43"/>
      <c r="F397" s="43"/>
      <c r="G397" s="43"/>
      <c r="H397" s="43"/>
      <c r="I397" s="43"/>
      <c r="J397" s="43"/>
      <c r="K397" s="43"/>
      <c r="L397" s="43"/>
      <c r="M397" s="43"/>
      <c r="N397" s="43"/>
      <c r="O397" s="43"/>
      <c r="Q397" s="43"/>
      <c r="U397" s="606"/>
    </row>
    <row r="398" spans="1:21">
      <c r="A398" s="43"/>
      <c r="C398" s="43"/>
      <c r="D398" s="43"/>
      <c r="E398" s="43"/>
      <c r="F398" s="43"/>
      <c r="G398" s="43"/>
      <c r="H398" s="43"/>
      <c r="I398" s="43"/>
      <c r="J398" s="43"/>
      <c r="K398" s="43"/>
      <c r="L398" s="43"/>
      <c r="M398" s="43"/>
      <c r="N398" s="43"/>
      <c r="O398" s="43"/>
      <c r="Q398" s="43"/>
      <c r="U398" s="606"/>
    </row>
    <row r="399" spans="1:21">
      <c r="A399" s="43"/>
      <c r="C399" s="43"/>
      <c r="D399" s="43"/>
      <c r="E399" s="43"/>
      <c r="F399" s="43"/>
      <c r="G399" s="43"/>
      <c r="H399" s="43"/>
      <c r="I399" s="43"/>
      <c r="J399" s="43"/>
      <c r="K399" s="43"/>
      <c r="L399" s="43"/>
      <c r="M399" s="43"/>
      <c r="N399" s="43"/>
      <c r="O399" s="43"/>
      <c r="Q399" s="43"/>
      <c r="U399" s="606"/>
    </row>
    <row r="400" spans="1:21">
      <c r="A400" s="43"/>
      <c r="C400" s="43"/>
      <c r="D400" s="43"/>
      <c r="E400" s="43"/>
      <c r="F400" s="43"/>
      <c r="G400" s="43"/>
      <c r="H400" s="43"/>
      <c r="I400" s="43"/>
      <c r="J400" s="43"/>
      <c r="K400" s="43"/>
      <c r="L400" s="43"/>
      <c r="M400" s="43"/>
      <c r="N400" s="43"/>
      <c r="O400" s="43"/>
      <c r="Q400" s="43"/>
      <c r="U400" s="606"/>
    </row>
    <row r="401" spans="1:21">
      <c r="A401" s="43"/>
      <c r="C401" s="43"/>
      <c r="D401" s="43"/>
      <c r="E401" s="43"/>
      <c r="F401" s="43"/>
      <c r="G401" s="43"/>
      <c r="H401" s="43"/>
      <c r="I401" s="43"/>
      <c r="J401" s="43"/>
      <c r="K401" s="43"/>
      <c r="L401" s="43"/>
      <c r="M401" s="43"/>
      <c r="N401" s="43"/>
      <c r="O401" s="43"/>
      <c r="Q401" s="43"/>
      <c r="U401" s="606"/>
    </row>
    <row r="402" spans="1:21">
      <c r="A402" s="43"/>
      <c r="C402" s="43"/>
      <c r="D402" s="43"/>
      <c r="E402" s="43"/>
      <c r="F402" s="43"/>
      <c r="G402" s="43"/>
      <c r="H402" s="43"/>
      <c r="I402" s="43"/>
      <c r="J402" s="43"/>
      <c r="K402" s="43"/>
      <c r="L402" s="43"/>
      <c r="M402" s="43"/>
      <c r="N402" s="43"/>
      <c r="O402" s="43"/>
      <c r="Q402" s="43"/>
      <c r="U402" s="606"/>
    </row>
    <row r="403" spans="1:21">
      <c r="A403" s="43"/>
      <c r="C403" s="43"/>
      <c r="D403" s="43"/>
      <c r="E403" s="43"/>
      <c r="F403" s="43"/>
      <c r="G403" s="43"/>
      <c r="H403" s="43"/>
      <c r="I403" s="43"/>
      <c r="J403" s="43"/>
      <c r="K403" s="43"/>
      <c r="L403" s="43"/>
      <c r="M403" s="43"/>
      <c r="N403" s="43"/>
      <c r="O403" s="43"/>
      <c r="Q403" s="43"/>
      <c r="U403" s="606"/>
    </row>
    <row r="404" spans="1:21">
      <c r="A404" s="43"/>
      <c r="C404" s="43"/>
      <c r="D404" s="43"/>
      <c r="E404" s="43"/>
      <c r="F404" s="43"/>
      <c r="G404" s="43"/>
      <c r="H404" s="43"/>
      <c r="I404" s="43"/>
      <c r="J404" s="43"/>
      <c r="K404" s="43"/>
      <c r="L404" s="43"/>
      <c r="M404" s="43"/>
      <c r="N404" s="43"/>
      <c r="O404" s="43"/>
      <c r="Q404" s="43"/>
      <c r="U404" s="606"/>
    </row>
    <row r="405" spans="1:21">
      <c r="A405" s="43"/>
      <c r="C405" s="43"/>
      <c r="D405" s="43"/>
      <c r="E405" s="43"/>
      <c r="F405" s="43"/>
      <c r="G405" s="43"/>
      <c r="H405" s="43"/>
      <c r="I405" s="43"/>
      <c r="J405" s="43"/>
      <c r="K405" s="43"/>
      <c r="L405" s="43"/>
      <c r="M405" s="43"/>
      <c r="N405" s="43"/>
      <c r="O405" s="43"/>
      <c r="Q405" s="43"/>
      <c r="U405" s="606"/>
    </row>
    <row r="406" spans="1:21">
      <c r="A406" s="43"/>
      <c r="C406" s="43"/>
      <c r="D406" s="43"/>
      <c r="E406" s="43"/>
      <c r="F406" s="43"/>
      <c r="G406" s="43"/>
      <c r="H406" s="43"/>
      <c r="I406" s="43"/>
      <c r="J406" s="43"/>
      <c r="K406" s="43"/>
      <c r="L406" s="43"/>
      <c r="M406" s="43"/>
      <c r="N406" s="43"/>
      <c r="O406" s="43"/>
      <c r="Q406" s="43"/>
      <c r="U406" s="606"/>
    </row>
    <row r="407" spans="1:21">
      <c r="A407" s="43"/>
      <c r="C407" s="43"/>
      <c r="D407" s="43"/>
      <c r="E407" s="43"/>
      <c r="F407" s="43"/>
      <c r="G407" s="43"/>
      <c r="H407" s="43"/>
      <c r="I407" s="43"/>
      <c r="J407" s="43"/>
      <c r="K407" s="43"/>
      <c r="L407" s="43"/>
      <c r="M407" s="43"/>
      <c r="N407" s="43"/>
      <c r="O407" s="43"/>
      <c r="Q407" s="43"/>
      <c r="U407" s="606"/>
    </row>
    <row r="408" spans="1:21">
      <c r="A408" s="43"/>
      <c r="C408" s="43"/>
      <c r="D408" s="43"/>
      <c r="E408" s="43"/>
      <c r="F408" s="43"/>
      <c r="G408" s="43"/>
      <c r="H408" s="43"/>
      <c r="I408" s="43"/>
      <c r="J408" s="43"/>
      <c r="K408" s="43"/>
      <c r="L408" s="43"/>
      <c r="M408" s="43"/>
      <c r="N408" s="43"/>
      <c r="O408" s="43"/>
      <c r="Q408" s="43"/>
      <c r="U408" s="606"/>
    </row>
    <row r="409" spans="1:21">
      <c r="A409" s="43"/>
      <c r="C409" s="43"/>
      <c r="D409" s="43"/>
      <c r="E409" s="43"/>
      <c r="F409" s="43"/>
      <c r="G409" s="43"/>
      <c r="H409" s="43"/>
      <c r="I409" s="43"/>
      <c r="J409" s="43"/>
      <c r="K409" s="43"/>
      <c r="L409" s="43"/>
      <c r="M409" s="43"/>
      <c r="N409" s="43"/>
      <c r="O409" s="43"/>
      <c r="Q409" s="43"/>
      <c r="U409" s="606"/>
    </row>
    <row r="410" spans="1:21">
      <c r="A410" s="43"/>
      <c r="C410" s="43"/>
      <c r="D410" s="43"/>
      <c r="E410" s="43"/>
      <c r="F410" s="43"/>
      <c r="G410" s="43"/>
      <c r="H410" s="43"/>
      <c r="I410" s="43"/>
      <c r="J410" s="43"/>
      <c r="K410" s="43"/>
      <c r="L410" s="43"/>
      <c r="M410" s="43"/>
      <c r="N410" s="43"/>
      <c r="O410" s="43"/>
      <c r="Q410" s="43"/>
      <c r="U410" s="606"/>
    </row>
    <row r="411" spans="1:21">
      <c r="A411" s="43"/>
      <c r="C411" s="43"/>
      <c r="D411" s="43"/>
      <c r="E411" s="43"/>
      <c r="F411" s="43"/>
      <c r="G411" s="43"/>
      <c r="H411" s="43"/>
      <c r="I411" s="43"/>
      <c r="J411" s="43"/>
      <c r="K411" s="43"/>
      <c r="L411" s="43"/>
      <c r="M411" s="43"/>
      <c r="N411" s="43"/>
      <c r="O411" s="43"/>
      <c r="Q411" s="43"/>
      <c r="U411" s="606"/>
    </row>
    <row r="412" spans="1:21">
      <c r="A412" s="43"/>
      <c r="C412" s="43"/>
      <c r="D412" s="43"/>
      <c r="E412" s="43"/>
      <c r="F412" s="43"/>
      <c r="G412" s="43"/>
      <c r="H412" s="43"/>
      <c r="I412" s="43"/>
      <c r="J412" s="43"/>
      <c r="K412" s="43"/>
      <c r="L412" s="43"/>
      <c r="M412" s="43"/>
      <c r="N412" s="43"/>
      <c r="O412" s="43"/>
      <c r="Q412" s="43"/>
      <c r="U412" s="606"/>
    </row>
    <row r="413" spans="1:21">
      <c r="A413" s="43"/>
      <c r="C413" s="43"/>
      <c r="D413" s="43"/>
      <c r="E413" s="43"/>
      <c r="F413" s="43"/>
      <c r="G413" s="43"/>
      <c r="H413" s="43"/>
      <c r="I413" s="43"/>
      <c r="J413" s="43"/>
      <c r="K413" s="43"/>
      <c r="L413" s="43"/>
      <c r="M413" s="43"/>
      <c r="N413" s="43"/>
      <c r="O413" s="43"/>
      <c r="Q413" s="43"/>
      <c r="U413" s="606"/>
    </row>
    <row r="414" spans="1:21">
      <c r="A414" s="43"/>
      <c r="C414" s="43"/>
      <c r="D414" s="43"/>
      <c r="E414" s="43"/>
      <c r="F414" s="43"/>
      <c r="G414" s="43"/>
      <c r="H414" s="43"/>
      <c r="I414" s="43"/>
      <c r="J414" s="43"/>
      <c r="K414" s="43"/>
      <c r="L414" s="43"/>
      <c r="M414" s="43"/>
      <c r="N414" s="43"/>
      <c r="O414" s="43"/>
      <c r="Q414" s="43"/>
      <c r="U414" s="606"/>
    </row>
    <row r="415" spans="1:21">
      <c r="A415" s="43"/>
      <c r="C415" s="43"/>
      <c r="D415" s="43"/>
      <c r="E415" s="43"/>
      <c r="F415" s="43"/>
      <c r="G415" s="43"/>
      <c r="H415" s="43"/>
      <c r="I415" s="43"/>
      <c r="J415" s="43"/>
      <c r="K415" s="43"/>
      <c r="L415" s="43"/>
      <c r="M415" s="43"/>
      <c r="N415" s="43"/>
      <c r="O415" s="43"/>
      <c r="Q415" s="43"/>
      <c r="U415" s="606"/>
    </row>
    <row r="416" spans="1:21">
      <c r="A416" s="43"/>
      <c r="C416" s="43"/>
      <c r="D416" s="43"/>
      <c r="E416" s="43"/>
      <c r="F416" s="43"/>
      <c r="G416" s="43"/>
      <c r="H416" s="43"/>
      <c r="I416" s="43"/>
      <c r="J416" s="43"/>
      <c r="K416" s="43"/>
      <c r="L416" s="43"/>
      <c r="M416" s="43"/>
      <c r="N416" s="43"/>
      <c r="O416" s="43"/>
      <c r="Q416" s="43"/>
      <c r="U416" s="606"/>
    </row>
    <row r="417" spans="1:21">
      <c r="A417" s="43"/>
      <c r="C417" s="43"/>
      <c r="D417" s="43"/>
      <c r="E417" s="43"/>
      <c r="F417" s="43"/>
      <c r="G417" s="43"/>
      <c r="H417" s="43"/>
      <c r="I417" s="43"/>
      <c r="J417" s="43"/>
      <c r="K417" s="43"/>
      <c r="L417" s="43"/>
      <c r="M417" s="43"/>
      <c r="N417" s="43"/>
      <c r="O417" s="43"/>
      <c r="Q417" s="43"/>
      <c r="U417" s="606"/>
    </row>
    <row r="418" spans="1:21">
      <c r="A418" s="43"/>
      <c r="C418" s="43"/>
      <c r="D418" s="43"/>
      <c r="E418" s="43"/>
      <c r="F418" s="43"/>
      <c r="G418" s="43"/>
      <c r="H418" s="43"/>
      <c r="I418" s="43"/>
      <c r="J418" s="43"/>
      <c r="K418" s="43"/>
      <c r="L418" s="43"/>
      <c r="M418" s="43"/>
      <c r="N418" s="43"/>
      <c r="O418" s="43"/>
      <c r="Q418" s="43"/>
      <c r="U418" s="606"/>
    </row>
    <row r="419" spans="1:21">
      <c r="A419" s="43"/>
      <c r="C419" s="43"/>
      <c r="D419" s="43"/>
      <c r="E419" s="43"/>
      <c r="F419" s="43"/>
      <c r="G419" s="43"/>
      <c r="H419" s="43"/>
      <c r="I419" s="43"/>
      <c r="J419" s="43"/>
      <c r="K419" s="43"/>
      <c r="L419" s="43"/>
      <c r="M419" s="43"/>
      <c r="N419" s="43"/>
      <c r="O419" s="43"/>
      <c r="Q419" s="43"/>
      <c r="U419" s="606"/>
    </row>
    <row r="420" spans="1:21">
      <c r="A420" s="43"/>
      <c r="C420" s="43"/>
      <c r="D420" s="43"/>
      <c r="E420" s="43"/>
      <c r="F420" s="43"/>
      <c r="G420" s="43"/>
      <c r="H420" s="43"/>
      <c r="I420" s="43"/>
      <c r="J420" s="43"/>
      <c r="K420" s="43"/>
      <c r="L420" s="43"/>
      <c r="M420" s="43"/>
      <c r="N420" s="43"/>
      <c r="O420" s="43"/>
      <c r="Q420" s="43"/>
      <c r="U420" s="606"/>
    </row>
    <row r="421" spans="1:21">
      <c r="A421" s="43"/>
      <c r="C421" s="43"/>
      <c r="D421" s="43"/>
      <c r="E421" s="43"/>
      <c r="F421" s="43"/>
      <c r="G421" s="43"/>
      <c r="H421" s="43"/>
      <c r="I421" s="43"/>
      <c r="J421" s="43"/>
      <c r="K421" s="43"/>
      <c r="L421" s="43"/>
      <c r="M421" s="43"/>
      <c r="N421" s="43"/>
      <c r="O421" s="43"/>
      <c r="Q421" s="43"/>
      <c r="U421" s="606"/>
    </row>
    <row r="422" spans="1:21">
      <c r="A422" s="43"/>
      <c r="C422" s="43"/>
      <c r="D422" s="43"/>
      <c r="E422" s="43"/>
      <c r="F422" s="43"/>
      <c r="G422" s="43"/>
      <c r="H422" s="43"/>
      <c r="I422" s="43"/>
      <c r="J422" s="43"/>
      <c r="K422" s="43"/>
      <c r="L422" s="43"/>
      <c r="M422" s="43"/>
      <c r="N422" s="43"/>
      <c r="O422" s="43"/>
      <c r="Q422" s="43"/>
      <c r="U422" s="606"/>
    </row>
    <row r="423" spans="1:21">
      <c r="A423" s="43"/>
      <c r="C423" s="43"/>
      <c r="D423" s="43"/>
      <c r="E423" s="43"/>
      <c r="F423" s="43"/>
      <c r="G423" s="43"/>
      <c r="H423" s="43"/>
      <c r="I423" s="43"/>
      <c r="J423" s="43"/>
      <c r="K423" s="43"/>
      <c r="L423" s="43"/>
      <c r="M423" s="43"/>
      <c r="N423" s="43"/>
      <c r="O423" s="43"/>
      <c r="Q423" s="43"/>
      <c r="U423" s="606"/>
    </row>
    <row r="424" spans="1:21">
      <c r="A424" s="43"/>
      <c r="C424" s="43"/>
      <c r="D424" s="43"/>
      <c r="E424" s="43"/>
      <c r="F424" s="43"/>
      <c r="G424" s="43"/>
      <c r="H424" s="43"/>
      <c r="I424" s="43"/>
      <c r="J424" s="43"/>
      <c r="K424" s="43"/>
      <c r="L424" s="43"/>
      <c r="M424" s="43"/>
      <c r="N424" s="43"/>
      <c r="O424" s="43"/>
      <c r="Q424" s="43"/>
      <c r="U424" s="606"/>
    </row>
    <row r="425" spans="1:21">
      <c r="A425" s="43"/>
      <c r="C425" s="43"/>
      <c r="D425" s="43"/>
      <c r="E425" s="43"/>
      <c r="F425" s="43"/>
      <c r="G425" s="43"/>
      <c r="H425" s="43"/>
      <c r="I425" s="43"/>
      <c r="J425" s="43"/>
      <c r="K425" s="43"/>
      <c r="L425" s="43"/>
      <c r="M425" s="43"/>
      <c r="N425" s="43"/>
      <c r="O425" s="43"/>
      <c r="Q425" s="43"/>
      <c r="U425" s="606"/>
    </row>
    <row r="426" spans="1:21">
      <c r="A426" s="43"/>
      <c r="C426" s="43"/>
      <c r="D426" s="43"/>
      <c r="E426" s="43"/>
      <c r="F426" s="43"/>
      <c r="G426" s="43"/>
      <c r="H426" s="43"/>
      <c r="I426" s="43"/>
      <c r="J426" s="43"/>
      <c r="K426" s="43"/>
      <c r="L426" s="43"/>
      <c r="M426" s="43"/>
      <c r="N426" s="43"/>
      <c r="O426" s="43"/>
      <c r="Q426" s="43"/>
      <c r="U426" s="606"/>
    </row>
    <row r="427" spans="1:21">
      <c r="A427" s="43"/>
      <c r="C427" s="43"/>
      <c r="D427" s="43"/>
      <c r="E427" s="43"/>
      <c r="F427" s="43"/>
      <c r="G427" s="43"/>
      <c r="H427" s="43"/>
      <c r="I427" s="43"/>
      <c r="J427" s="43"/>
      <c r="K427" s="43"/>
      <c r="L427" s="43"/>
      <c r="M427" s="43"/>
      <c r="N427" s="43"/>
      <c r="O427" s="43"/>
      <c r="Q427" s="43"/>
      <c r="U427" s="606"/>
    </row>
    <row r="428" spans="1:21">
      <c r="A428" s="43"/>
      <c r="C428" s="43"/>
      <c r="D428" s="43"/>
      <c r="E428" s="43"/>
      <c r="F428" s="43"/>
      <c r="G428" s="43"/>
      <c r="H428" s="43"/>
      <c r="I428" s="43"/>
      <c r="J428" s="43"/>
      <c r="K428" s="43"/>
      <c r="L428" s="43"/>
      <c r="M428" s="43"/>
      <c r="N428" s="43"/>
      <c r="O428" s="43"/>
      <c r="Q428" s="43"/>
      <c r="U428" s="606"/>
    </row>
    <row r="429" spans="1:21">
      <c r="A429" s="43"/>
      <c r="C429" s="43"/>
      <c r="D429" s="43"/>
      <c r="E429" s="43"/>
      <c r="F429" s="43"/>
      <c r="G429" s="43"/>
      <c r="H429" s="43"/>
      <c r="I429" s="43"/>
      <c r="J429" s="43"/>
      <c r="K429" s="43"/>
      <c r="L429" s="43"/>
      <c r="M429" s="43"/>
      <c r="N429" s="43"/>
      <c r="O429" s="43"/>
      <c r="Q429" s="43"/>
      <c r="U429" s="606"/>
    </row>
    <row r="430" spans="1:21">
      <c r="A430" s="43"/>
      <c r="C430" s="43"/>
      <c r="D430" s="43"/>
      <c r="E430" s="43"/>
      <c r="F430" s="43"/>
      <c r="G430" s="43"/>
      <c r="H430" s="43"/>
      <c r="I430" s="43"/>
      <c r="J430" s="43"/>
      <c r="K430" s="43"/>
      <c r="L430" s="43"/>
      <c r="M430" s="43"/>
      <c r="N430" s="43"/>
      <c r="O430" s="43"/>
      <c r="Q430" s="43"/>
      <c r="U430" s="606"/>
    </row>
    <row r="431" spans="1:21">
      <c r="A431" s="43"/>
      <c r="C431" s="43"/>
      <c r="D431" s="43"/>
      <c r="E431" s="43"/>
      <c r="F431" s="43"/>
      <c r="G431" s="43"/>
      <c r="H431" s="43"/>
      <c r="I431" s="43"/>
      <c r="J431" s="43"/>
      <c r="K431" s="43"/>
      <c r="L431" s="43"/>
      <c r="M431" s="43"/>
      <c r="N431" s="43"/>
      <c r="O431" s="43"/>
      <c r="Q431" s="43"/>
      <c r="U431" s="606"/>
    </row>
    <row r="432" spans="1:21">
      <c r="A432" s="43"/>
      <c r="C432" s="43"/>
      <c r="D432" s="43"/>
      <c r="E432" s="43"/>
      <c r="F432" s="43"/>
      <c r="G432" s="43"/>
      <c r="H432" s="43"/>
      <c r="I432" s="43"/>
      <c r="J432" s="43"/>
      <c r="K432" s="43"/>
      <c r="L432" s="43"/>
      <c r="M432" s="43"/>
      <c r="N432" s="43"/>
      <c r="O432" s="43"/>
      <c r="Q432" s="43"/>
      <c r="U432" s="606"/>
    </row>
    <row r="433" spans="1:21">
      <c r="A433" s="43"/>
      <c r="C433" s="43"/>
      <c r="D433" s="43"/>
      <c r="E433" s="43"/>
      <c r="F433" s="43"/>
      <c r="G433" s="43"/>
      <c r="H433" s="43"/>
      <c r="I433" s="43"/>
      <c r="J433" s="43"/>
      <c r="K433" s="43"/>
      <c r="L433" s="43"/>
      <c r="M433" s="43"/>
      <c r="N433" s="43"/>
      <c r="O433" s="43"/>
      <c r="Q433" s="43"/>
      <c r="U433" s="606"/>
    </row>
    <row r="434" spans="1:21">
      <c r="A434" s="43"/>
      <c r="C434" s="43"/>
      <c r="D434" s="43"/>
      <c r="E434" s="43"/>
      <c r="F434" s="43"/>
      <c r="G434" s="43"/>
      <c r="H434" s="43"/>
      <c r="I434" s="43"/>
      <c r="J434" s="43"/>
      <c r="K434" s="43"/>
      <c r="L434" s="43"/>
      <c r="M434" s="43"/>
      <c r="N434" s="43"/>
      <c r="O434" s="43"/>
      <c r="Q434" s="43"/>
      <c r="U434" s="606"/>
    </row>
    <row r="435" spans="1:21">
      <c r="A435" s="43"/>
      <c r="C435" s="43"/>
      <c r="D435" s="43"/>
      <c r="E435" s="43"/>
      <c r="F435" s="43"/>
      <c r="G435" s="43"/>
      <c r="H435" s="43"/>
      <c r="I435" s="43"/>
      <c r="J435" s="43"/>
      <c r="K435" s="43"/>
      <c r="L435" s="43"/>
      <c r="M435" s="43"/>
      <c r="N435" s="43"/>
      <c r="O435" s="43"/>
      <c r="Q435" s="43"/>
      <c r="U435" s="606"/>
    </row>
    <row r="436" spans="1:21">
      <c r="A436" s="43"/>
      <c r="C436" s="43"/>
      <c r="D436" s="43"/>
      <c r="E436" s="43"/>
      <c r="F436" s="43"/>
      <c r="G436" s="43"/>
      <c r="H436" s="43"/>
      <c r="I436" s="43"/>
      <c r="J436" s="43"/>
      <c r="K436" s="43"/>
      <c r="L436" s="43"/>
      <c r="M436" s="43"/>
      <c r="N436" s="43"/>
      <c r="O436" s="43"/>
      <c r="Q436" s="43"/>
      <c r="U436" s="606"/>
    </row>
    <row r="437" spans="1:21">
      <c r="A437" s="43"/>
      <c r="C437" s="43"/>
      <c r="D437" s="43"/>
      <c r="E437" s="43"/>
      <c r="F437" s="43"/>
      <c r="G437" s="43"/>
      <c r="H437" s="43"/>
      <c r="I437" s="43"/>
      <c r="J437" s="43"/>
      <c r="K437" s="43"/>
      <c r="L437" s="43"/>
      <c r="M437" s="43"/>
      <c r="N437" s="43"/>
      <c r="O437" s="43"/>
      <c r="Q437" s="43"/>
      <c r="U437" s="606"/>
    </row>
    <row r="438" spans="1:21">
      <c r="A438" s="43"/>
      <c r="C438" s="43"/>
      <c r="D438" s="43"/>
      <c r="E438" s="43"/>
      <c r="F438" s="43"/>
      <c r="G438" s="43"/>
      <c r="H438" s="43"/>
      <c r="I438" s="43"/>
      <c r="J438" s="43"/>
      <c r="K438" s="43"/>
      <c r="L438" s="43"/>
      <c r="M438" s="43"/>
      <c r="N438" s="43"/>
      <c r="O438" s="43"/>
      <c r="Q438" s="43"/>
      <c r="U438" s="606"/>
    </row>
    <row r="439" spans="1:21">
      <c r="A439" s="43"/>
      <c r="C439" s="43"/>
      <c r="D439" s="43"/>
      <c r="E439" s="43"/>
      <c r="F439" s="43"/>
      <c r="G439" s="43"/>
      <c r="H439" s="43"/>
      <c r="I439" s="43"/>
      <c r="J439" s="43"/>
      <c r="K439" s="43"/>
      <c r="L439" s="43"/>
      <c r="M439" s="43"/>
      <c r="N439" s="43"/>
      <c r="O439" s="43"/>
      <c r="Q439" s="43"/>
      <c r="U439" s="606"/>
    </row>
    <row r="440" spans="1:21">
      <c r="A440" s="43"/>
      <c r="C440" s="43"/>
      <c r="D440" s="43"/>
      <c r="E440" s="43"/>
      <c r="F440" s="43"/>
      <c r="G440" s="43"/>
      <c r="H440" s="43"/>
      <c r="I440" s="43"/>
      <c r="J440" s="43"/>
      <c r="K440" s="43"/>
      <c r="L440" s="43"/>
      <c r="M440" s="43"/>
      <c r="N440" s="43"/>
      <c r="O440" s="43"/>
      <c r="Q440" s="43"/>
      <c r="U440" s="606"/>
    </row>
    <row r="441" spans="1:21">
      <c r="A441" s="43"/>
      <c r="C441" s="43"/>
      <c r="D441" s="43"/>
      <c r="E441" s="43"/>
      <c r="F441" s="43"/>
      <c r="G441" s="43"/>
      <c r="H441" s="43"/>
      <c r="I441" s="43"/>
      <c r="J441" s="43"/>
      <c r="K441" s="43"/>
      <c r="L441" s="43"/>
      <c r="M441" s="43"/>
      <c r="N441" s="43"/>
      <c r="O441" s="43"/>
      <c r="Q441" s="43"/>
      <c r="U441" s="606"/>
    </row>
    <row r="442" spans="1:21">
      <c r="A442" s="43"/>
      <c r="C442" s="43"/>
      <c r="D442" s="43"/>
      <c r="E442" s="43"/>
      <c r="F442" s="43"/>
      <c r="G442" s="43"/>
      <c r="H442" s="43"/>
      <c r="I442" s="43"/>
      <c r="J442" s="43"/>
      <c r="K442" s="43"/>
      <c r="L442" s="43"/>
      <c r="M442" s="43"/>
      <c r="N442" s="43"/>
      <c r="O442" s="43"/>
      <c r="Q442" s="43"/>
      <c r="U442" s="606"/>
    </row>
    <row r="443" spans="1:21">
      <c r="A443" s="43"/>
      <c r="C443" s="43"/>
      <c r="D443" s="43"/>
      <c r="E443" s="43"/>
      <c r="F443" s="43"/>
      <c r="G443" s="43"/>
      <c r="H443" s="43"/>
      <c r="I443" s="43"/>
      <c r="J443" s="43"/>
      <c r="K443" s="43"/>
      <c r="L443" s="43"/>
      <c r="M443" s="43"/>
      <c r="N443" s="43"/>
      <c r="O443" s="43"/>
      <c r="Q443" s="43"/>
      <c r="U443" s="606"/>
    </row>
    <row r="444" spans="1:21">
      <c r="A444" s="43"/>
      <c r="C444" s="43"/>
      <c r="D444" s="43"/>
      <c r="E444" s="43"/>
      <c r="F444" s="43"/>
      <c r="G444" s="43"/>
      <c r="H444" s="43"/>
      <c r="I444" s="43"/>
      <c r="J444" s="43"/>
      <c r="K444" s="43"/>
      <c r="L444" s="43"/>
      <c r="M444" s="43"/>
      <c r="N444" s="43"/>
      <c r="O444" s="43"/>
      <c r="Q444" s="43"/>
      <c r="U444" s="606"/>
    </row>
    <row r="445" spans="1:21">
      <c r="A445" s="43"/>
      <c r="C445" s="43"/>
      <c r="D445" s="43"/>
      <c r="E445" s="43"/>
      <c r="F445" s="43"/>
      <c r="G445" s="43"/>
      <c r="H445" s="43"/>
      <c r="I445" s="43"/>
      <c r="J445" s="43"/>
      <c r="K445" s="43"/>
      <c r="L445" s="43"/>
      <c r="M445" s="43"/>
      <c r="N445" s="43"/>
      <c r="O445" s="43"/>
      <c r="Q445" s="43"/>
      <c r="U445" s="606"/>
    </row>
    <row r="446" spans="1:21">
      <c r="A446" s="43"/>
      <c r="C446" s="43"/>
      <c r="D446" s="43"/>
      <c r="E446" s="43"/>
      <c r="F446" s="43"/>
      <c r="G446" s="43"/>
      <c r="H446" s="43"/>
      <c r="I446" s="43"/>
      <c r="J446" s="43"/>
      <c r="K446" s="43"/>
      <c r="L446" s="43"/>
      <c r="M446" s="43"/>
      <c r="N446" s="43"/>
      <c r="O446" s="43"/>
      <c r="Q446" s="43"/>
      <c r="U446" s="606"/>
    </row>
    <row r="447" spans="1:21">
      <c r="A447" s="43"/>
      <c r="C447" s="43"/>
      <c r="D447" s="43"/>
      <c r="E447" s="43"/>
      <c r="F447" s="43"/>
      <c r="G447" s="43"/>
      <c r="H447" s="43"/>
      <c r="I447" s="43"/>
      <c r="J447" s="43"/>
      <c r="K447" s="43"/>
      <c r="L447" s="43"/>
      <c r="M447" s="43"/>
      <c r="N447" s="43"/>
      <c r="O447" s="43"/>
      <c r="Q447" s="43"/>
      <c r="U447" s="606"/>
    </row>
    <row r="448" spans="1:21">
      <c r="A448" s="43"/>
      <c r="C448" s="43"/>
      <c r="D448" s="43"/>
      <c r="E448" s="43"/>
      <c r="F448" s="43"/>
      <c r="G448" s="43"/>
      <c r="H448" s="43"/>
      <c r="I448" s="43"/>
      <c r="J448" s="43"/>
      <c r="K448" s="43"/>
      <c r="L448" s="43"/>
      <c r="M448" s="43"/>
      <c r="N448" s="43"/>
      <c r="O448" s="43"/>
      <c r="Q448" s="43"/>
      <c r="U448" s="606"/>
    </row>
    <row r="449" spans="1:21">
      <c r="A449" s="43"/>
      <c r="C449" s="43"/>
      <c r="D449" s="43"/>
      <c r="E449" s="43"/>
      <c r="F449" s="43"/>
      <c r="G449" s="43"/>
      <c r="H449" s="43"/>
      <c r="I449" s="43"/>
      <c r="J449" s="43"/>
      <c r="K449" s="43"/>
      <c r="L449" s="43"/>
      <c r="M449" s="43"/>
      <c r="N449" s="43"/>
      <c r="O449" s="43"/>
      <c r="Q449" s="43"/>
      <c r="U449" s="606"/>
    </row>
    <row r="450" spans="1:21">
      <c r="A450" s="43"/>
      <c r="C450" s="43"/>
      <c r="D450" s="43"/>
      <c r="E450" s="43"/>
      <c r="F450" s="43"/>
      <c r="G450" s="43"/>
      <c r="H450" s="43"/>
      <c r="I450" s="43"/>
      <c r="J450" s="43"/>
      <c r="K450" s="43"/>
      <c r="L450" s="43"/>
      <c r="M450" s="43"/>
      <c r="N450" s="43"/>
      <c r="O450" s="43"/>
      <c r="Q450" s="43"/>
      <c r="U450" s="606"/>
    </row>
    <row r="451" spans="1:21">
      <c r="A451" s="43"/>
      <c r="C451" s="43"/>
      <c r="D451" s="43"/>
      <c r="E451" s="43"/>
      <c r="F451" s="43"/>
      <c r="G451" s="43"/>
      <c r="H451" s="43"/>
      <c r="I451" s="43"/>
      <c r="J451" s="43"/>
      <c r="K451" s="43"/>
      <c r="L451" s="43"/>
      <c r="M451" s="43"/>
      <c r="N451" s="43"/>
      <c r="O451" s="43"/>
      <c r="Q451" s="43"/>
      <c r="U451" s="606"/>
    </row>
    <row r="452" spans="1:21">
      <c r="A452" s="43"/>
      <c r="C452" s="43"/>
      <c r="D452" s="43"/>
      <c r="E452" s="43"/>
      <c r="F452" s="43"/>
      <c r="G452" s="43"/>
      <c r="H452" s="43"/>
      <c r="I452" s="43"/>
      <c r="J452" s="43"/>
      <c r="K452" s="43"/>
      <c r="L452" s="43"/>
      <c r="M452" s="43"/>
      <c r="N452" s="43"/>
      <c r="O452" s="43"/>
      <c r="Q452" s="43"/>
      <c r="U452" s="606"/>
    </row>
    <row r="453" spans="1:21">
      <c r="A453" s="43"/>
      <c r="C453" s="43"/>
      <c r="D453" s="43"/>
      <c r="E453" s="43"/>
      <c r="F453" s="43"/>
      <c r="G453" s="43"/>
      <c r="H453" s="43"/>
      <c r="I453" s="43"/>
      <c r="J453" s="43"/>
      <c r="K453" s="43"/>
      <c r="L453" s="43"/>
      <c r="M453" s="43"/>
      <c r="N453" s="43"/>
      <c r="O453" s="43"/>
      <c r="Q453" s="43"/>
      <c r="U453" s="606"/>
    </row>
    <row r="454" spans="1:21">
      <c r="A454" s="43"/>
      <c r="C454" s="43"/>
      <c r="D454" s="43"/>
      <c r="E454" s="43"/>
      <c r="F454" s="43"/>
      <c r="G454" s="43"/>
      <c r="H454" s="43"/>
      <c r="I454" s="43"/>
      <c r="J454" s="43"/>
      <c r="K454" s="43"/>
      <c r="L454" s="43"/>
      <c r="M454" s="43"/>
      <c r="N454" s="43"/>
      <c r="O454" s="43"/>
      <c r="Q454" s="43"/>
      <c r="U454" s="606"/>
    </row>
    <row r="455" spans="1:21">
      <c r="A455" s="43"/>
      <c r="C455" s="43"/>
      <c r="D455" s="43"/>
      <c r="E455" s="43"/>
      <c r="F455" s="43"/>
      <c r="G455" s="43"/>
      <c r="H455" s="43"/>
      <c r="I455" s="43"/>
      <c r="J455" s="43"/>
      <c r="K455" s="43"/>
      <c r="L455" s="43"/>
      <c r="M455" s="43"/>
      <c r="N455" s="43"/>
      <c r="O455" s="43"/>
      <c r="Q455" s="43"/>
      <c r="U455" s="606"/>
    </row>
    <row r="456" spans="1:21">
      <c r="A456" s="43"/>
      <c r="C456" s="43"/>
      <c r="D456" s="43"/>
      <c r="E456" s="43"/>
      <c r="F456" s="43"/>
      <c r="G456" s="43"/>
      <c r="H456" s="43"/>
      <c r="I456" s="43"/>
      <c r="J456" s="43"/>
      <c r="K456" s="43"/>
      <c r="L456" s="43"/>
      <c r="M456" s="43"/>
      <c r="N456" s="43"/>
      <c r="O456" s="43"/>
      <c r="Q456" s="43"/>
      <c r="U456" s="606"/>
    </row>
    <row r="457" spans="1:21">
      <c r="A457" s="43"/>
      <c r="C457" s="43"/>
      <c r="D457" s="43"/>
      <c r="E457" s="43"/>
      <c r="F457" s="43"/>
      <c r="G457" s="43"/>
      <c r="H457" s="43"/>
      <c r="I457" s="43"/>
      <c r="J457" s="43"/>
      <c r="K457" s="43"/>
      <c r="L457" s="43"/>
      <c r="M457" s="43"/>
      <c r="N457" s="43"/>
      <c r="O457" s="43"/>
      <c r="Q457" s="43"/>
      <c r="U457" s="606"/>
    </row>
    <row r="458" spans="1:21">
      <c r="A458" s="43"/>
      <c r="C458" s="43"/>
      <c r="D458" s="43"/>
      <c r="E458" s="43"/>
      <c r="F458" s="43"/>
      <c r="G458" s="43"/>
      <c r="H458" s="43"/>
      <c r="I458" s="43"/>
      <c r="J458" s="43"/>
      <c r="K458" s="43"/>
      <c r="L458" s="43"/>
      <c r="M458" s="43"/>
      <c r="N458" s="43"/>
      <c r="O458" s="43"/>
      <c r="Q458" s="43"/>
      <c r="U458" s="606"/>
    </row>
    <row r="459" spans="1:21">
      <c r="A459" s="43"/>
      <c r="C459" s="43"/>
      <c r="D459" s="43"/>
      <c r="E459" s="43"/>
      <c r="F459" s="43"/>
      <c r="G459" s="43"/>
      <c r="H459" s="43"/>
      <c r="I459" s="43"/>
      <c r="J459" s="43"/>
      <c r="K459" s="43"/>
      <c r="L459" s="43"/>
      <c r="M459" s="43"/>
      <c r="N459" s="43"/>
      <c r="O459" s="43"/>
      <c r="Q459" s="43"/>
      <c r="U459" s="606"/>
    </row>
    <row r="460" spans="1:21">
      <c r="A460" s="43"/>
      <c r="C460" s="43"/>
      <c r="D460" s="43"/>
      <c r="E460" s="43"/>
      <c r="F460" s="43"/>
      <c r="G460" s="43"/>
      <c r="H460" s="43"/>
      <c r="I460" s="43"/>
      <c r="J460" s="43"/>
      <c r="K460" s="43"/>
      <c r="L460" s="43"/>
      <c r="M460" s="43"/>
      <c r="N460" s="43"/>
      <c r="O460" s="43"/>
      <c r="Q460" s="43"/>
      <c r="U460" s="606"/>
    </row>
    <row r="461" spans="1:21">
      <c r="A461" s="43"/>
      <c r="C461" s="43"/>
      <c r="D461" s="43"/>
      <c r="E461" s="43"/>
      <c r="F461" s="43"/>
      <c r="G461" s="43"/>
      <c r="H461" s="43"/>
      <c r="I461" s="43"/>
      <c r="J461" s="43"/>
      <c r="K461" s="43"/>
      <c r="L461" s="43"/>
      <c r="M461" s="43"/>
      <c r="N461" s="43"/>
      <c r="O461" s="43"/>
      <c r="Q461" s="43"/>
      <c r="U461" s="606"/>
    </row>
    <row r="462" spans="1:21">
      <c r="A462" s="43"/>
      <c r="C462" s="43"/>
      <c r="D462" s="43"/>
      <c r="E462" s="43"/>
      <c r="F462" s="43"/>
      <c r="G462" s="43"/>
      <c r="H462" s="43"/>
      <c r="I462" s="43"/>
      <c r="J462" s="43"/>
      <c r="K462" s="43"/>
      <c r="L462" s="43"/>
      <c r="M462" s="43"/>
      <c r="N462" s="43"/>
      <c r="O462" s="43"/>
      <c r="Q462" s="43"/>
      <c r="U462" s="606"/>
    </row>
    <row r="463" spans="1:21">
      <c r="A463" s="43"/>
      <c r="C463" s="43"/>
      <c r="D463" s="43"/>
      <c r="E463" s="43"/>
      <c r="F463" s="43"/>
      <c r="G463" s="43"/>
      <c r="H463" s="43"/>
      <c r="I463" s="43"/>
      <c r="J463" s="43"/>
      <c r="K463" s="43"/>
      <c r="L463" s="43"/>
      <c r="M463" s="43"/>
      <c r="N463" s="43"/>
      <c r="O463" s="43"/>
      <c r="Q463" s="43"/>
      <c r="U463" s="606"/>
    </row>
    <row r="464" spans="1:21">
      <c r="A464" s="43"/>
      <c r="C464" s="43"/>
      <c r="D464" s="43"/>
      <c r="E464" s="43"/>
      <c r="F464" s="43"/>
      <c r="G464" s="43"/>
      <c r="H464" s="43"/>
      <c r="I464" s="43"/>
      <c r="J464" s="43"/>
      <c r="K464" s="43"/>
      <c r="L464" s="43"/>
      <c r="M464" s="43"/>
      <c r="N464" s="43"/>
      <c r="O464" s="43"/>
      <c r="Q464" s="43"/>
      <c r="U464" s="606"/>
    </row>
    <row r="465" spans="1:21">
      <c r="A465" s="43"/>
      <c r="C465" s="43"/>
      <c r="D465" s="43"/>
      <c r="E465" s="43"/>
      <c r="F465" s="43"/>
      <c r="G465" s="43"/>
      <c r="H465" s="43"/>
      <c r="I465" s="43"/>
      <c r="J465" s="43"/>
      <c r="K465" s="43"/>
      <c r="L465" s="43"/>
      <c r="M465" s="43"/>
      <c r="N465" s="43"/>
      <c r="O465" s="43"/>
      <c r="Q465" s="43"/>
      <c r="U465" s="606"/>
    </row>
    <row r="466" spans="1:21">
      <c r="A466" s="43"/>
      <c r="C466" s="43"/>
      <c r="D466" s="43"/>
      <c r="E466" s="43"/>
      <c r="F466" s="43"/>
      <c r="G466" s="43"/>
      <c r="H466" s="43"/>
      <c r="I466" s="43"/>
      <c r="J466" s="43"/>
      <c r="K466" s="43"/>
      <c r="L466" s="43"/>
      <c r="M466" s="43"/>
      <c r="N466" s="43"/>
      <c r="O466" s="43"/>
      <c r="Q466" s="43"/>
      <c r="U466" s="606"/>
    </row>
    <row r="467" spans="1:21">
      <c r="A467" s="43"/>
      <c r="C467" s="43"/>
      <c r="D467" s="43"/>
      <c r="E467" s="43"/>
      <c r="F467" s="43"/>
      <c r="G467" s="43"/>
      <c r="H467" s="43"/>
      <c r="I467" s="43"/>
      <c r="J467" s="43"/>
      <c r="K467" s="43"/>
      <c r="L467" s="43"/>
      <c r="M467" s="43"/>
      <c r="N467" s="43"/>
      <c r="O467" s="43"/>
      <c r="Q467" s="43"/>
      <c r="U467" s="606"/>
    </row>
    <row r="468" spans="1:21">
      <c r="A468" s="43"/>
      <c r="C468" s="43"/>
      <c r="D468" s="43"/>
      <c r="E468" s="43"/>
      <c r="F468" s="43"/>
      <c r="G468" s="43"/>
      <c r="H468" s="43"/>
      <c r="I468" s="43"/>
      <c r="J468" s="43"/>
      <c r="K468" s="43"/>
      <c r="L468" s="43"/>
      <c r="M468" s="43"/>
      <c r="N468" s="43"/>
      <c r="O468" s="43"/>
      <c r="Q468" s="43"/>
      <c r="U468" s="606"/>
    </row>
    <row r="469" spans="1:21">
      <c r="A469" s="43"/>
      <c r="C469" s="43"/>
      <c r="D469" s="43"/>
      <c r="E469" s="43"/>
      <c r="F469" s="43"/>
      <c r="G469" s="43"/>
      <c r="H469" s="43"/>
      <c r="I469" s="43"/>
      <c r="J469" s="43"/>
      <c r="K469" s="43"/>
      <c r="L469" s="43"/>
      <c r="M469" s="43"/>
      <c r="N469" s="43"/>
      <c r="O469" s="43"/>
      <c r="Q469" s="43"/>
      <c r="U469" s="606"/>
    </row>
    <row r="470" spans="1:21">
      <c r="A470" s="43"/>
      <c r="C470" s="43"/>
      <c r="D470" s="43"/>
      <c r="E470" s="43"/>
      <c r="F470" s="43"/>
      <c r="G470" s="43"/>
      <c r="H470" s="43"/>
      <c r="I470" s="43"/>
      <c r="J470" s="43"/>
      <c r="K470" s="43"/>
      <c r="L470" s="43"/>
      <c r="M470" s="43"/>
      <c r="N470" s="43"/>
      <c r="O470" s="43"/>
      <c r="Q470" s="43"/>
      <c r="U470" s="606"/>
    </row>
    <row r="471" spans="1:21">
      <c r="A471" s="43"/>
      <c r="C471" s="43"/>
      <c r="D471" s="43"/>
      <c r="E471" s="43"/>
      <c r="F471" s="43"/>
      <c r="G471" s="43"/>
      <c r="H471" s="43"/>
      <c r="I471" s="43"/>
      <c r="J471" s="43"/>
      <c r="K471" s="43"/>
      <c r="L471" s="43"/>
      <c r="M471" s="43"/>
      <c r="N471" s="43"/>
      <c r="O471" s="43"/>
      <c r="Q471" s="43"/>
      <c r="U471" s="606"/>
    </row>
    <row r="472" spans="1:21">
      <c r="A472" s="43"/>
      <c r="C472" s="43"/>
      <c r="D472" s="43"/>
      <c r="E472" s="43"/>
      <c r="F472" s="43"/>
      <c r="G472" s="43"/>
      <c r="H472" s="43"/>
      <c r="I472" s="43"/>
      <c r="J472" s="43"/>
      <c r="K472" s="43"/>
      <c r="L472" s="43"/>
      <c r="M472" s="43"/>
      <c r="N472" s="43"/>
      <c r="O472" s="43"/>
      <c r="Q472" s="43"/>
      <c r="U472" s="606"/>
    </row>
    <row r="473" spans="1:21">
      <c r="A473" s="43"/>
      <c r="C473" s="43"/>
      <c r="D473" s="43"/>
      <c r="E473" s="43"/>
      <c r="F473" s="43"/>
      <c r="G473" s="43"/>
      <c r="H473" s="43"/>
      <c r="I473" s="43"/>
      <c r="J473" s="43"/>
      <c r="K473" s="43"/>
      <c r="L473" s="43"/>
      <c r="M473" s="43"/>
      <c r="N473" s="43"/>
      <c r="O473" s="43"/>
      <c r="Q473" s="43"/>
      <c r="U473" s="606"/>
    </row>
    <row r="474" spans="1:21">
      <c r="A474" s="43"/>
      <c r="C474" s="43"/>
      <c r="D474" s="43"/>
      <c r="E474" s="43"/>
      <c r="F474" s="43"/>
      <c r="G474" s="43"/>
      <c r="H474" s="43"/>
      <c r="I474" s="43"/>
      <c r="J474" s="43"/>
      <c r="K474" s="43"/>
      <c r="L474" s="43"/>
      <c r="M474" s="43"/>
      <c r="N474" s="43"/>
      <c r="O474" s="43"/>
      <c r="Q474" s="43"/>
      <c r="U474" s="606"/>
    </row>
    <row r="475" spans="1:21">
      <c r="A475" s="43"/>
      <c r="C475" s="43"/>
      <c r="D475" s="43"/>
      <c r="E475" s="43"/>
      <c r="F475" s="43"/>
      <c r="G475" s="43"/>
      <c r="H475" s="43"/>
      <c r="I475" s="43"/>
      <c r="J475" s="43"/>
      <c r="K475" s="43"/>
      <c r="L475" s="43"/>
      <c r="M475" s="43"/>
      <c r="N475" s="43"/>
      <c r="O475" s="43"/>
      <c r="Q475" s="43"/>
      <c r="U475" s="606"/>
    </row>
    <row r="476" spans="1:21">
      <c r="A476" s="43"/>
      <c r="C476" s="43"/>
      <c r="D476" s="43"/>
      <c r="E476" s="43"/>
      <c r="F476" s="43"/>
      <c r="G476" s="43"/>
      <c r="H476" s="43"/>
      <c r="I476" s="43"/>
      <c r="J476" s="43"/>
      <c r="K476" s="43"/>
      <c r="L476" s="43"/>
      <c r="M476" s="43"/>
      <c r="N476" s="43"/>
      <c r="O476" s="43"/>
      <c r="Q476" s="43"/>
      <c r="U476" s="606"/>
    </row>
    <row r="477" spans="1:21">
      <c r="A477" s="43"/>
      <c r="C477" s="43"/>
      <c r="D477" s="43"/>
      <c r="E477" s="43"/>
      <c r="F477" s="43"/>
      <c r="G477" s="43"/>
      <c r="H477" s="43"/>
      <c r="I477" s="43"/>
      <c r="J477" s="43"/>
      <c r="K477" s="43"/>
      <c r="L477" s="43"/>
      <c r="M477" s="43"/>
      <c r="N477" s="43"/>
      <c r="O477" s="43"/>
      <c r="Q477" s="43"/>
      <c r="U477" s="606"/>
    </row>
    <row r="478" spans="1:21">
      <c r="A478" s="43"/>
      <c r="C478" s="43"/>
      <c r="D478" s="43"/>
      <c r="E478" s="43"/>
      <c r="F478" s="43"/>
      <c r="G478" s="43"/>
      <c r="H478" s="43"/>
      <c r="I478" s="43"/>
      <c r="J478" s="43"/>
      <c r="K478" s="43"/>
      <c r="L478" s="43"/>
      <c r="M478" s="43"/>
      <c r="N478" s="43"/>
      <c r="O478" s="43"/>
      <c r="Q478" s="43"/>
      <c r="U478" s="606"/>
    </row>
    <row r="479" spans="1:21">
      <c r="A479" s="43"/>
      <c r="C479" s="43"/>
      <c r="D479" s="43"/>
      <c r="E479" s="43"/>
      <c r="F479" s="43"/>
      <c r="G479" s="43"/>
      <c r="H479" s="43"/>
      <c r="I479" s="43"/>
      <c r="J479" s="43"/>
      <c r="K479" s="43"/>
      <c r="L479" s="43"/>
      <c r="M479" s="43"/>
      <c r="N479" s="43"/>
      <c r="O479" s="43"/>
      <c r="Q479" s="43"/>
      <c r="U479" s="606"/>
    </row>
    <row r="480" spans="1:21">
      <c r="A480" s="43"/>
      <c r="C480" s="43"/>
      <c r="D480" s="43"/>
      <c r="E480" s="43"/>
      <c r="F480" s="43"/>
      <c r="G480" s="43"/>
      <c r="H480" s="43"/>
      <c r="I480" s="43"/>
      <c r="J480" s="43"/>
      <c r="K480" s="43"/>
      <c r="L480" s="43"/>
      <c r="M480" s="43"/>
      <c r="N480" s="43"/>
      <c r="O480" s="43"/>
      <c r="Q480" s="43"/>
      <c r="U480" s="606"/>
    </row>
    <row r="481" spans="1:21">
      <c r="A481" s="43"/>
      <c r="C481" s="43"/>
      <c r="D481" s="43"/>
      <c r="E481" s="43"/>
      <c r="F481" s="43"/>
      <c r="G481" s="43"/>
      <c r="H481" s="43"/>
      <c r="I481" s="43"/>
      <c r="J481" s="43"/>
      <c r="K481" s="43"/>
      <c r="L481" s="43"/>
      <c r="M481" s="43"/>
      <c r="N481" s="43"/>
      <c r="O481" s="43"/>
      <c r="Q481" s="43"/>
      <c r="U481" s="606"/>
    </row>
    <row r="482" spans="1:21">
      <c r="A482" s="43"/>
      <c r="C482" s="43"/>
      <c r="D482" s="43"/>
      <c r="E482" s="43"/>
      <c r="F482" s="43"/>
      <c r="G482" s="43"/>
      <c r="H482" s="43"/>
      <c r="I482" s="43"/>
      <c r="J482" s="43"/>
      <c r="K482" s="43"/>
      <c r="L482" s="43"/>
      <c r="M482" s="43"/>
      <c r="N482" s="43"/>
      <c r="O482" s="43"/>
      <c r="Q482" s="43"/>
      <c r="U482" s="606"/>
    </row>
    <row r="483" spans="1:21">
      <c r="A483" s="43"/>
      <c r="C483" s="43"/>
      <c r="D483" s="43"/>
      <c r="E483" s="43"/>
      <c r="F483" s="43"/>
      <c r="G483" s="43"/>
      <c r="H483" s="43"/>
      <c r="I483" s="43"/>
      <c r="J483" s="43"/>
      <c r="K483" s="43"/>
      <c r="L483" s="43"/>
      <c r="M483" s="43"/>
      <c r="N483" s="43"/>
      <c r="O483" s="43"/>
      <c r="Q483" s="43"/>
      <c r="U483" s="606"/>
    </row>
    <row r="484" spans="1:21">
      <c r="A484" s="43"/>
      <c r="C484" s="43"/>
      <c r="D484" s="43"/>
      <c r="E484" s="43"/>
      <c r="F484" s="43"/>
      <c r="G484" s="43"/>
      <c r="H484" s="43"/>
      <c r="I484" s="43"/>
      <c r="J484" s="43"/>
      <c r="K484" s="43"/>
      <c r="L484" s="43"/>
      <c r="M484" s="43"/>
      <c r="N484" s="43"/>
      <c r="O484" s="43"/>
      <c r="Q484" s="43"/>
      <c r="U484" s="606"/>
    </row>
    <row r="485" spans="1:21">
      <c r="A485" s="43"/>
      <c r="C485" s="43"/>
      <c r="D485" s="43"/>
      <c r="E485" s="43"/>
      <c r="F485" s="43"/>
      <c r="G485" s="43"/>
      <c r="H485" s="43"/>
      <c r="I485" s="43"/>
      <c r="J485" s="43"/>
      <c r="K485" s="43"/>
      <c r="L485" s="43"/>
      <c r="M485" s="43"/>
      <c r="N485" s="43"/>
      <c r="O485" s="43"/>
      <c r="Q485" s="43"/>
      <c r="U485" s="606"/>
    </row>
    <row r="486" spans="1:21">
      <c r="A486" s="43"/>
      <c r="C486" s="43"/>
      <c r="D486" s="43"/>
      <c r="E486" s="43"/>
      <c r="F486" s="43"/>
      <c r="G486" s="43"/>
      <c r="H486" s="43"/>
      <c r="I486" s="43"/>
      <c r="J486" s="43"/>
      <c r="K486" s="43"/>
      <c r="L486" s="43"/>
      <c r="M486" s="43"/>
      <c r="N486" s="43"/>
      <c r="O486" s="43"/>
      <c r="Q486" s="43"/>
      <c r="U486" s="606"/>
    </row>
    <row r="487" spans="1:21">
      <c r="A487" s="43"/>
      <c r="C487" s="43"/>
      <c r="D487" s="43"/>
      <c r="E487" s="43"/>
      <c r="F487" s="43"/>
      <c r="G487" s="43"/>
      <c r="H487" s="43"/>
      <c r="I487" s="43"/>
      <c r="J487" s="43"/>
      <c r="K487" s="43"/>
      <c r="L487" s="43"/>
      <c r="M487" s="43"/>
      <c r="N487" s="43"/>
      <c r="O487" s="43"/>
      <c r="Q487" s="43"/>
      <c r="U487" s="606"/>
    </row>
    <row r="488" spans="1:21">
      <c r="A488" s="43"/>
      <c r="C488" s="43"/>
      <c r="D488" s="43"/>
      <c r="E488" s="43"/>
      <c r="F488" s="43"/>
      <c r="G488" s="43"/>
      <c r="H488" s="43"/>
      <c r="I488" s="43"/>
      <c r="J488" s="43"/>
      <c r="K488" s="43"/>
      <c r="L488" s="43"/>
      <c r="M488" s="43"/>
      <c r="N488" s="43"/>
      <c r="O488" s="43"/>
      <c r="Q488" s="43"/>
      <c r="U488" s="606"/>
    </row>
    <row r="489" spans="1:21">
      <c r="A489" s="43"/>
      <c r="C489" s="43"/>
      <c r="D489" s="43"/>
      <c r="E489" s="43"/>
      <c r="F489" s="43"/>
      <c r="G489" s="43"/>
      <c r="H489" s="43"/>
      <c r="I489" s="43"/>
      <c r="J489" s="43"/>
      <c r="K489" s="43"/>
      <c r="L489" s="43"/>
      <c r="M489" s="43"/>
      <c r="N489" s="43"/>
      <c r="O489" s="43"/>
      <c r="Q489" s="43"/>
      <c r="U489" s="606"/>
    </row>
    <row r="490" spans="1:21">
      <c r="A490" s="43"/>
      <c r="C490" s="43"/>
      <c r="D490" s="43"/>
      <c r="E490" s="43"/>
      <c r="F490" s="43"/>
      <c r="G490" s="43"/>
      <c r="H490" s="43"/>
      <c r="I490" s="43"/>
      <c r="J490" s="43"/>
      <c r="K490" s="43"/>
      <c r="L490" s="43"/>
      <c r="M490" s="43"/>
      <c r="N490" s="43"/>
      <c r="O490" s="43"/>
      <c r="Q490" s="43"/>
      <c r="U490" s="606"/>
    </row>
    <row r="491" spans="1:21">
      <c r="A491" s="43"/>
      <c r="C491" s="43"/>
      <c r="D491" s="43"/>
      <c r="E491" s="43"/>
      <c r="F491" s="43"/>
      <c r="G491" s="43"/>
      <c r="H491" s="43"/>
      <c r="I491" s="43"/>
      <c r="J491" s="43"/>
      <c r="K491" s="43"/>
      <c r="L491" s="43"/>
      <c r="M491" s="43"/>
      <c r="N491" s="43"/>
      <c r="O491" s="43"/>
      <c r="Q491" s="43"/>
      <c r="U491" s="606"/>
    </row>
    <row r="492" spans="1:21">
      <c r="A492" s="43"/>
      <c r="C492" s="43"/>
      <c r="D492" s="43"/>
      <c r="E492" s="43"/>
      <c r="F492" s="43"/>
      <c r="G492" s="43"/>
      <c r="H492" s="43"/>
      <c r="I492" s="43"/>
      <c r="J492" s="43"/>
      <c r="K492" s="43"/>
      <c r="L492" s="43"/>
      <c r="M492" s="43"/>
      <c r="N492" s="43"/>
      <c r="O492" s="43"/>
      <c r="Q492" s="43"/>
      <c r="U492" s="606"/>
    </row>
    <row r="493" spans="1:21">
      <c r="A493" s="43"/>
      <c r="C493" s="43"/>
      <c r="D493" s="43"/>
      <c r="E493" s="43"/>
      <c r="F493" s="43"/>
      <c r="G493" s="43"/>
      <c r="H493" s="43"/>
      <c r="I493" s="43"/>
      <c r="J493" s="43"/>
      <c r="K493" s="43"/>
      <c r="L493" s="43"/>
      <c r="M493" s="43"/>
      <c r="N493" s="43"/>
      <c r="O493" s="43"/>
      <c r="Q493" s="43"/>
      <c r="U493" s="606"/>
    </row>
    <row r="494" spans="1:21">
      <c r="A494" s="43"/>
      <c r="C494" s="43"/>
      <c r="D494" s="43"/>
      <c r="E494" s="43"/>
      <c r="F494" s="43"/>
      <c r="G494" s="43"/>
      <c r="H494" s="43"/>
      <c r="I494" s="43"/>
      <c r="J494" s="43"/>
      <c r="K494" s="43"/>
      <c r="L494" s="43"/>
      <c r="M494" s="43"/>
      <c r="N494" s="43"/>
      <c r="O494" s="43"/>
      <c r="Q494" s="43"/>
      <c r="U494" s="606"/>
    </row>
    <row r="495" spans="1:21">
      <c r="A495" s="43"/>
      <c r="C495" s="43"/>
      <c r="D495" s="43"/>
      <c r="E495" s="43"/>
      <c r="F495" s="43"/>
      <c r="G495" s="43"/>
      <c r="H495" s="43"/>
      <c r="I495" s="43"/>
      <c r="J495" s="43"/>
      <c r="K495" s="43"/>
      <c r="L495" s="43"/>
      <c r="M495" s="43"/>
      <c r="N495" s="43"/>
      <c r="O495" s="43"/>
      <c r="Q495" s="43"/>
      <c r="U495" s="606"/>
    </row>
    <row r="496" spans="1:21">
      <c r="A496" s="43"/>
      <c r="C496" s="43"/>
      <c r="D496" s="43"/>
      <c r="E496" s="43"/>
      <c r="F496" s="43"/>
      <c r="G496" s="43"/>
      <c r="H496" s="43"/>
      <c r="I496" s="43"/>
      <c r="J496" s="43"/>
      <c r="K496" s="43"/>
      <c r="L496" s="43"/>
      <c r="M496" s="43"/>
      <c r="N496" s="43"/>
      <c r="O496" s="43"/>
      <c r="Q496" s="43"/>
      <c r="U496" s="606"/>
    </row>
    <row r="497" spans="1:21">
      <c r="A497" s="43"/>
      <c r="C497" s="43"/>
      <c r="D497" s="43"/>
      <c r="E497" s="43"/>
      <c r="F497" s="43"/>
      <c r="G497" s="43"/>
      <c r="H497" s="43"/>
      <c r="I497" s="43"/>
      <c r="J497" s="43"/>
      <c r="K497" s="43"/>
      <c r="L497" s="43"/>
      <c r="M497" s="43"/>
      <c r="N497" s="43"/>
      <c r="O497" s="43"/>
      <c r="Q497" s="43"/>
      <c r="U497" s="606"/>
    </row>
    <row r="498" spans="1:21">
      <c r="A498" s="43"/>
      <c r="C498" s="43"/>
      <c r="D498" s="43"/>
      <c r="E498" s="43"/>
      <c r="F498" s="43"/>
      <c r="G498" s="43"/>
      <c r="H498" s="43"/>
      <c r="I498" s="43"/>
      <c r="J498" s="43"/>
      <c r="K498" s="43"/>
      <c r="L498" s="43"/>
      <c r="M498" s="43"/>
      <c r="N498" s="43"/>
      <c r="O498" s="43"/>
      <c r="Q498" s="43"/>
      <c r="U498" s="606"/>
    </row>
    <row r="499" spans="1:21">
      <c r="A499" s="43"/>
      <c r="C499" s="43"/>
      <c r="D499" s="43"/>
      <c r="E499" s="43"/>
      <c r="F499" s="43"/>
      <c r="G499" s="43"/>
      <c r="H499" s="43"/>
      <c r="I499" s="43"/>
      <c r="J499" s="43"/>
      <c r="K499" s="43"/>
      <c r="L499" s="43"/>
      <c r="M499" s="43"/>
      <c r="N499" s="43"/>
      <c r="O499" s="43"/>
      <c r="Q499" s="43"/>
      <c r="U499" s="606"/>
    </row>
    <row r="500" spans="1:21">
      <c r="A500" s="43"/>
      <c r="C500" s="43"/>
      <c r="D500" s="43"/>
      <c r="E500" s="43"/>
      <c r="F500" s="43"/>
      <c r="G500" s="43"/>
      <c r="H500" s="43"/>
      <c r="I500" s="43"/>
      <c r="J500" s="43"/>
      <c r="K500" s="43"/>
      <c r="L500" s="43"/>
      <c r="M500" s="43"/>
      <c r="N500" s="43"/>
      <c r="O500" s="43"/>
      <c r="Q500" s="43"/>
      <c r="U500" s="606"/>
    </row>
    <row r="501" spans="1:21">
      <c r="A501" s="43"/>
      <c r="C501" s="43"/>
      <c r="D501" s="43"/>
      <c r="E501" s="43"/>
      <c r="F501" s="43"/>
      <c r="G501" s="43"/>
      <c r="H501" s="43"/>
      <c r="I501" s="43"/>
      <c r="J501" s="43"/>
      <c r="K501" s="43"/>
      <c r="L501" s="43"/>
      <c r="M501" s="43"/>
      <c r="N501" s="43"/>
      <c r="O501" s="43"/>
      <c r="Q501" s="43"/>
      <c r="U501" s="606"/>
    </row>
    <row r="502" spans="1:21">
      <c r="A502" s="43"/>
      <c r="C502" s="43"/>
      <c r="D502" s="43"/>
      <c r="E502" s="43"/>
      <c r="F502" s="43"/>
      <c r="G502" s="43"/>
      <c r="H502" s="43"/>
      <c r="I502" s="43"/>
      <c r="J502" s="43"/>
      <c r="K502" s="43"/>
      <c r="L502" s="43"/>
      <c r="M502" s="43"/>
      <c r="N502" s="43"/>
      <c r="O502" s="43"/>
      <c r="Q502" s="43"/>
      <c r="U502" s="606"/>
    </row>
    <row r="503" spans="1:21">
      <c r="A503" s="43"/>
      <c r="C503" s="43"/>
      <c r="D503" s="43"/>
      <c r="E503" s="43"/>
      <c r="F503" s="43"/>
      <c r="G503" s="43"/>
      <c r="H503" s="43"/>
      <c r="I503" s="43"/>
      <c r="J503" s="43"/>
      <c r="K503" s="43"/>
      <c r="L503" s="43"/>
      <c r="M503" s="43"/>
      <c r="N503" s="43"/>
      <c r="O503" s="43"/>
      <c r="Q503" s="43"/>
      <c r="U503" s="606"/>
    </row>
    <row r="504" spans="1:21">
      <c r="A504" s="43"/>
      <c r="C504" s="43"/>
      <c r="D504" s="43"/>
      <c r="E504" s="43"/>
      <c r="F504" s="43"/>
      <c r="G504" s="43"/>
      <c r="H504" s="43"/>
      <c r="I504" s="43"/>
      <c r="J504" s="43"/>
      <c r="K504" s="43"/>
      <c r="L504" s="43"/>
      <c r="M504" s="43"/>
      <c r="N504" s="43"/>
      <c r="O504" s="43"/>
      <c r="Q504" s="43"/>
      <c r="U504" s="606"/>
    </row>
    <row r="505" spans="1:21">
      <c r="A505" s="43"/>
      <c r="C505" s="43"/>
      <c r="D505" s="43"/>
      <c r="E505" s="43"/>
      <c r="F505" s="43"/>
      <c r="G505" s="43"/>
      <c r="H505" s="43"/>
      <c r="I505" s="43"/>
      <c r="J505" s="43"/>
      <c r="K505" s="43"/>
      <c r="L505" s="43"/>
      <c r="M505" s="43"/>
      <c r="N505" s="43"/>
      <c r="O505" s="43"/>
      <c r="Q505" s="43"/>
      <c r="U505" s="606"/>
    </row>
    <row r="506" spans="1:21">
      <c r="A506" s="43"/>
      <c r="C506" s="43"/>
      <c r="D506" s="43"/>
      <c r="E506" s="43"/>
      <c r="F506" s="43"/>
      <c r="G506" s="43"/>
      <c r="H506" s="43"/>
      <c r="I506" s="43"/>
      <c r="J506" s="43"/>
      <c r="K506" s="43"/>
      <c r="L506" s="43"/>
      <c r="M506" s="43"/>
      <c r="N506" s="43"/>
      <c r="O506" s="43"/>
      <c r="Q506" s="43"/>
      <c r="U506" s="606"/>
    </row>
    <row r="507" spans="1:21">
      <c r="A507" s="43"/>
      <c r="C507" s="43"/>
      <c r="D507" s="43"/>
      <c r="E507" s="43"/>
      <c r="F507" s="43"/>
      <c r="G507" s="43"/>
      <c r="H507" s="43"/>
      <c r="I507" s="43"/>
      <c r="J507" s="43"/>
      <c r="K507" s="43"/>
      <c r="L507" s="43"/>
      <c r="M507" s="43"/>
      <c r="N507" s="43"/>
      <c r="O507" s="43"/>
      <c r="Q507" s="43"/>
      <c r="U507" s="606"/>
    </row>
    <row r="508" spans="1:21">
      <c r="A508" s="43"/>
      <c r="C508" s="43"/>
      <c r="D508" s="43"/>
      <c r="E508" s="43"/>
      <c r="F508" s="43"/>
      <c r="G508" s="43"/>
      <c r="H508" s="43"/>
      <c r="I508" s="43"/>
      <c r="J508" s="43"/>
      <c r="K508" s="43"/>
      <c r="L508" s="43"/>
      <c r="M508" s="43"/>
      <c r="N508" s="43"/>
      <c r="O508" s="43"/>
      <c r="Q508" s="43"/>
      <c r="U508" s="606"/>
    </row>
    <row r="509" spans="1:21">
      <c r="A509" s="43"/>
      <c r="C509" s="43"/>
      <c r="D509" s="43"/>
      <c r="E509" s="43"/>
      <c r="F509" s="43"/>
      <c r="G509" s="43"/>
      <c r="H509" s="43"/>
      <c r="I509" s="43"/>
      <c r="J509" s="43"/>
      <c r="K509" s="43"/>
      <c r="L509" s="43"/>
      <c r="M509" s="43"/>
      <c r="N509" s="43"/>
      <c r="O509" s="43"/>
      <c r="Q509" s="43"/>
      <c r="U509" s="606"/>
    </row>
    <row r="510" spans="1:21">
      <c r="A510" s="43"/>
      <c r="C510" s="43"/>
      <c r="D510" s="43"/>
      <c r="E510" s="43"/>
      <c r="F510" s="43"/>
      <c r="G510" s="43"/>
      <c r="H510" s="43"/>
      <c r="I510" s="43"/>
      <c r="J510" s="43"/>
      <c r="K510" s="43"/>
      <c r="L510" s="43"/>
      <c r="M510" s="43"/>
      <c r="N510" s="43"/>
      <c r="O510" s="43"/>
      <c r="Q510" s="43"/>
      <c r="U510" s="606"/>
    </row>
    <row r="511" spans="1:21">
      <c r="A511" s="43"/>
      <c r="C511" s="43"/>
      <c r="D511" s="43"/>
      <c r="E511" s="43"/>
      <c r="F511" s="43"/>
      <c r="G511" s="43"/>
      <c r="H511" s="43"/>
      <c r="I511" s="43"/>
      <c r="J511" s="43"/>
      <c r="K511" s="43"/>
      <c r="L511" s="43"/>
      <c r="M511" s="43"/>
      <c r="N511" s="43"/>
      <c r="O511" s="43"/>
      <c r="Q511" s="43"/>
      <c r="U511" s="606"/>
    </row>
    <row r="512" spans="1:21">
      <c r="A512" s="43"/>
      <c r="C512" s="43"/>
      <c r="D512" s="43"/>
      <c r="E512" s="43"/>
      <c r="F512" s="43"/>
      <c r="G512" s="43"/>
      <c r="H512" s="43"/>
      <c r="I512" s="43"/>
      <c r="J512" s="43"/>
      <c r="K512" s="43"/>
      <c r="L512" s="43"/>
      <c r="M512" s="43"/>
      <c r="N512" s="43"/>
      <c r="O512" s="43"/>
      <c r="Q512" s="43"/>
      <c r="U512" s="606"/>
    </row>
    <row r="513" spans="1:21">
      <c r="A513" s="43"/>
      <c r="C513" s="43"/>
      <c r="D513" s="43"/>
      <c r="E513" s="43"/>
      <c r="F513" s="43"/>
      <c r="G513" s="43"/>
      <c r="H513" s="43"/>
      <c r="I513" s="43"/>
      <c r="J513" s="43"/>
      <c r="K513" s="43"/>
      <c r="L513" s="43"/>
      <c r="M513" s="43"/>
      <c r="N513" s="43"/>
      <c r="O513" s="43"/>
      <c r="Q513" s="43"/>
      <c r="U513" s="606"/>
    </row>
    <row r="514" spans="1:21">
      <c r="A514" s="43"/>
      <c r="C514" s="43"/>
      <c r="D514" s="43"/>
      <c r="E514" s="43"/>
      <c r="F514" s="43"/>
      <c r="G514" s="43"/>
      <c r="H514" s="43"/>
      <c r="I514" s="43"/>
      <c r="J514" s="43"/>
      <c r="K514" s="43"/>
      <c r="L514" s="43"/>
      <c r="M514" s="43"/>
      <c r="N514" s="43"/>
      <c r="O514" s="43"/>
      <c r="Q514" s="43"/>
      <c r="U514" s="606"/>
    </row>
    <row r="515" spans="1:21">
      <c r="A515" s="43"/>
      <c r="C515" s="43"/>
      <c r="D515" s="43"/>
      <c r="E515" s="43"/>
      <c r="F515" s="43"/>
      <c r="G515" s="43"/>
      <c r="H515" s="43"/>
      <c r="I515" s="43"/>
      <c r="J515" s="43"/>
      <c r="K515" s="43"/>
      <c r="L515" s="43"/>
      <c r="M515" s="43"/>
      <c r="N515" s="43"/>
      <c r="O515" s="43"/>
      <c r="Q515" s="43"/>
      <c r="U515" s="606"/>
    </row>
    <row r="516" spans="1:21">
      <c r="A516" s="43"/>
      <c r="C516" s="43"/>
      <c r="D516" s="43"/>
      <c r="E516" s="43"/>
      <c r="F516" s="43"/>
      <c r="G516" s="43"/>
      <c r="H516" s="43"/>
      <c r="I516" s="43"/>
      <c r="J516" s="43"/>
      <c r="K516" s="43"/>
      <c r="L516" s="43"/>
      <c r="M516" s="43"/>
      <c r="N516" s="43"/>
      <c r="O516" s="43"/>
      <c r="Q516" s="43"/>
      <c r="U516" s="606"/>
    </row>
    <row r="517" spans="1:21">
      <c r="A517" s="43"/>
      <c r="C517" s="43"/>
      <c r="D517" s="43"/>
      <c r="E517" s="43"/>
      <c r="F517" s="43"/>
      <c r="G517" s="43"/>
      <c r="H517" s="43"/>
      <c r="I517" s="43"/>
      <c r="J517" s="43"/>
      <c r="K517" s="43"/>
      <c r="L517" s="43"/>
      <c r="M517" s="43"/>
      <c r="N517" s="43"/>
      <c r="O517" s="43"/>
      <c r="Q517" s="43"/>
      <c r="U517" s="606"/>
    </row>
    <row r="518" spans="1:21">
      <c r="A518" s="43"/>
      <c r="C518" s="43"/>
      <c r="D518" s="43"/>
      <c r="E518" s="43"/>
      <c r="F518" s="43"/>
      <c r="G518" s="43"/>
      <c r="H518" s="43"/>
      <c r="I518" s="43"/>
      <c r="J518" s="43"/>
      <c r="K518" s="43"/>
      <c r="L518" s="43"/>
      <c r="M518" s="43"/>
      <c r="N518" s="43"/>
      <c r="O518" s="43"/>
      <c r="Q518" s="43"/>
      <c r="U518" s="606"/>
    </row>
    <row r="519" spans="1:21">
      <c r="A519" s="43"/>
      <c r="C519" s="43"/>
      <c r="D519" s="43"/>
      <c r="E519" s="43"/>
      <c r="F519" s="43"/>
      <c r="G519" s="43"/>
      <c r="H519" s="43"/>
      <c r="I519" s="43"/>
      <c r="J519" s="43"/>
      <c r="K519" s="43"/>
      <c r="L519" s="43"/>
      <c r="M519" s="43"/>
      <c r="N519" s="43"/>
      <c r="O519" s="43"/>
      <c r="Q519" s="43"/>
      <c r="U519" s="606"/>
    </row>
    <row r="520" spans="1:21">
      <c r="A520" s="43"/>
      <c r="C520" s="43"/>
      <c r="D520" s="43"/>
      <c r="E520" s="43"/>
      <c r="F520" s="43"/>
      <c r="G520" s="43"/>
      <c r="H520" s="43"/>
      <c r="I520" s="43"/>
      <c r="J520" s="43"/>
      <c r="K520" s="43"/>
      <c r="L520" s="43"/>
      <c r="M520" s="43"/>
      <c r="N520" s="43"/>
      <c r="O520" s="43"/>
      <c r="Q520" s="43"/>
      <c r="U520" s="606"/>
    </row>
    <row r="521" spans="1:21">
      <c r="A521" s="43"/>
      <c r="C521" s="43"/>
      <c r="D521" s="43"/>
      <c r="E521" s="43"/>
      <c r="F521" s="43"/>
      <c r="G521" s="43"/>
      <c r="H521" s="43"/>
      <c r="I521" s="43"/>
      <c r="J521" s="43"/>
      <c r="K521" s="43"/>
      <c r="L521" s="43"/>
      <c r="M521" s="43"/>
      <c r="N521" s="43"/>
      <c r="O521" s="43"/>
      <c r="Q521" s="43"/>
      <c r="U521" s="606"/>
    </row>
    <row r="522" spans="1:21">
      <c r="A522" s="43"/>
      <c r="C522" s="43"/>
      <c r="D522" s="43"/>
      <c r="E522" s="43"/>
      <c r="F522" s="43"/>
      <c r="G522" s="43"/>
      <c r="H522" s="43"/>
      <c r="I522" s="43"/>
      <c r="J522" s="43"/>
      <c r="K522" s="43"/>
      <c r="L522" s="43"/>
      <c r="M522" s="43"/>
      <c r="N522" s="43"/>
      <c r="O522" s="43"/>
      <c r="Q522" s="43"/>
      <c r="U522" s="606"/>
    </row>
    <row r="523" spans="1:21">
      <c r="A523" s="43"/>
      <c r="C523" s="43"/>
      <c r="D523" s="43"/>
      <c r="E523" s="43"/>
      <c r="F523" s="43"/>
      <c r="G523" s="43"/>
      <c r="H523" s="43"/>
      <c r="I523" s="43"/>
      <c r="J523" s="43"/>
      <c r="K523" s="43"/>
      <c r="L523" s="43"/>
      <c r="M523" s="43"/>
      <c r="N523" s="43"/>
      <c r="O523" s="43"/>
      <c r="Q523" s="43"/>
      <c r="U523" s="606"/>
    </row>
    <row r="524" spans="1:21">
      <c r="A524" s="43"/>
      <c r="C524" s="43"/>
      <c r="D524" s="43"/>
      <c r="E524" s="43"/>
      <c r="F524" s="43"/>
      <c r="G524" s="43"/>
      <c r="H524" s="43"/>
      <c r="I524" s="43"/>
      <c r="J524" s="43"/>
      <c r="K524" s="43"/>
      <c r="L524" s="43"/>
      <c r="M524" s="43"/>
      <c r="N524" s="43"/>
      <c r="O524" s="43"/>
      <c r="Q524" s="43"/>
      <c r="U524" s="606"/>
    </row>
    <row r="525" spans="1:21">
      <c r="A525" s="43"/>
      <c r="C525" s="43"/>
      <c r="D525" s="43"/>
      <c r="E525" s="43"/>
      <c r="F525" s="43"/>
      <c r="G525" s="43"/>
      <c r="H525" s="43"/>
      <c r="I525" s="43"/>
      <c r="J525" s="43"/>
      <c r="K525" s="43"/>
      <c r="L525" s="43"/>
      <c r="M525" s="43"/>
      <c r="N525" s="43"/>
      <c r="O525" s="43"/>
      <c r="Q525" s="43"/>
      <c r="U525" s="606"/>
    </row>
    <row r="526" spans="1:21">
      <c r="A526" s="43"/>
      <c r="C526" s="43"/>
      <c r="D526" s="43"/>
      <c r="E526" s="43"/>
      <c r="F526" s="43"/>
      <c r="G526" s="43"/>
      <c r="H526" s="43"/>
      <c r="I526" s="43"/>
      <c r="J526" s="43"/>
      <c r="K526" s="43"/>
      <c r="L526" s="43"/>
      <c r="M526" s="43"/>
      <c r="N526" s="43"/>
      <c r="O526" s="43"/>
      <c r="Q526" s="43"/>
      <c r="U526" s="606"/>
    </row>
    <row r="527" spans="1:21">
      <c r="A527" s="43"/>
      <c r="C527" s="43"/>
      <c r="D527" s="43"/>
      <c r="E527" s="43"/>
      <c r="F527" s="43"/>
      <c r="G527" s="43"/>
      <c r="H527" s="43"/>
      <c r="I527" s="43"/>
      <c r="J527" s="43"/>
      <c r="K527" s="43"/>
      <c r="L527" s="43"/>
      <c r="M527" s="43"/>
      <c r="N527" s="43"/>
      <c r="O527" s="43"/>
      <c r="Q527" s="43"/>
      <c r="U527" s="606"/>
    </row>
    <row r="528" spans="1:21">
      <c r="A528" s="43"/>
      <c r="C528" s="43"/>
      <c r="D528" s="43"/>
      <c r="E528" s="43"/>
      <c r="F528" s="43"/>
      <c r="G528" s="43"/>
      <c r="H528" s="43"/>
      <c r="I528" s="43"/>
      <c r="J528" s="43"/>
      <c r="K528" s="43"/>
      <c r="L528" s="43"/>
      <c r="M528" s="43"/>
      <c r="N528" s="43"/>
      <c r="O528" s="43"/>
      <c r="Q528" s="43"/>
      <c r="U528" s="606"/>
    </row>
    <row r="529" spans="1:21">
      <c r="A529" s="43"/>
      <c r="C529" s="43"/>
      <c r="D529" s="43"/>
      <c r="E529" s="43"/>
      <c r="F529" s="43"/>
      <c r="G529" s="43"/>
      <c r="H529" s="43"/>
      <c r="I529" s="43"/>
      <c r="J529" s="43"/>
      <c r="K529" s="43"/>
      <c r="L529" s="43"/>
      <c r="M529" s="43"/>
      <c r="N529" s="43"/>
      <c r="O529" s="43"/>
      <c r="Q529" s="43"/>
      <c r="U529" s="606"/>
    </row>
    <row r="530" spans="1:21">
      <c r="A530" s="43"/>
      <c r="C530" s="43"/>
      <c r="D530" s="43"/>
      <c r="E530" s="43"/>
      <c r="F530" s="43"/>
      <c r="G530" s="43"/>
      <c r="H530" s="43"/>
      <c r="I530" s="43"/>
      <c r="J530" s="43"/>
      <c r="K530" s="43"/>
      <c r="L530" s="43"/>
      <c r="M530" s="43"/>
      <c r="N530" s="43"/>
      <c r="O530" s="43"/>
      <c r="Q530" s="43"/>
      <c r="U530" s="606"/>
    </row>
    <row r="531" spans="1:21">
      <c r="A531" s="43"/>
      <c r="C531" s="43"/>
      <c r="D531" s="43"/>
      <c r="E531" s="43"/>
      <c r="F531" s="43"/>
      <c r="G531" s="43"/>
      <c r="H531" s="43"/>
      <c r="I531" s="43"/>
      <c r="J531" s="43"/>
      <c r="K531" s="43"/>
      <c r="L531" s="43"/>
      <c r="M531" s="43"/>
      <c r="N531" s="43"/>
      <c r="O531" s="43"/>
      <c r="Q531" s="43"/>
      <c r="U531" s="606"/>
    </row>
    <row r="532" spans="1:21">
      <c r="A532" s="43"/>
      <c r="C532" s="43"/>
      <c r="D532" s="43"/>
      <c r="E532" s="43"/>
      <c r="F532" s="43"/>
      <c r="G532" s="43"/>
      <c r="H532" s="43"/>
      <c r="I532" s="43"/>
      <c r="J532" s="43"/>
      <c r="K532" s="43"/>
      <c r="L532" s="43"/>
      <c r="M532" s="43"/>
      <c r="N532" s="43"/>
      <c r="O532" s="43"/>
      <c r="Q532" s="43"/>
      <c r="U532" s="606"/>
    </row>
    <row r="533" spans="1:21">
      <c r="A533" s="43"/>
      <c r="C533" s="43"/>
      <c r="D533" s="43"/>
      <c r="E533" s="43"/>
      <c r="F533" s="43"/>
      <c r="G533" s="43"/>
      <c r="H533" s="43"/>
      <c r="I533" s="43"/>
      <c r="J533" s="43"/>
      <c r="K533" s="43"/>
      <c r="L533" s="43"/>
      <c r="M533" s="43"/>
      <c r="N533" s="43"/>
      <c r="O533" s="43"/>
      <c r="Q533" s="43"/>
      <c r="U533" s="606"/>
    </row>
    <row r="534" spans="1:21">
      <c r="A534" s="43"/>
      <c r="C534" s="43"/>
      <c r="D534" s="43"/>
      <c r="E534" s="43"/>
      <c r="F534" s="43"/>
      <c r="G534" s="43"/>
      <c r="H534" s="43"/>
      <c r="I534" s="43"/>
      <c r="J534" s="43"/>
      <c r="K534" s="43"/>
      <c r="L534" s="43"/>
      <c r="M534" s="43"/>
      <c r="N534" s="43"/>
      <c r="O534" s="43"/>
      <c r="Q534" s="43"/>
      <c r="U534" s="606"/>
    </row>
    <row r="535" spans="1:21">
      <c r="A535" s="43"/>
      <c r="C535" s="43"/>
      <c r="D535" s="43"/>
      <c r="E535" s="43"/>
      <c r="F535" s="43"/>
      <c r="G535" s="43"/>
      <c r="H535" s="43"/>
      <c r="I535" s="43"/>
      <c r="J535" s="43"/>
      <c r="K535" s="43"/>
      <c r="L535" s="43"/>
      <c r="M535" s="43"/>
      <c r="N535" s="43"/>
      <c r="O535" s="43"/>
      <c r="Q535" s="43"/>
      <c r="U535" s="606"/>
    </row>
    <row r="536" spans="1:21">
      <c r="A536" s="43"/>
      <c r="C536" s="43"/>
      <c r="D536" s="43"/>
      <c r="E536" s="43"/>
      <c r="F536" s="43"/>
      <c r="G536" s="43"/>
      <c r="H536" s="43"/>
      <c r="I536" s="43"/>
      <c r="J536" s="43"/>
      <c r="K536" s="43"/>
      <c r="L536" s="43"/>
      <c r="M536" s="43"/>
      <c r="N536" s="43"/>
      <c r="O536" s="43"/>
      <c r="Q536" s="43"/>
      <c r="U536" s="606"/>
    </row>
    <row r="537" spans="1:21">
      <c r="A537" s="43"/>
      <c r="C537" s="43"/>
      <c r="D537" s="43"/>
      <c r="E537" s="43"/>
      <c r="F537" s="43"/>
      <c r="G537" s="43"/>
      <c r="H537" s="43"/>
      <c r="I537" s="43"/>
      <c r="J537" s="43"/>
      <c r="K537" s="43"/>
      <c r="L537" s="43"/>
      <c r="M537" s="43"/>
      <c r="N537" s="43"/>
      <c r="O537" s="43"/>
      <c r="Q537" s="43"/>
      <c r="U537" s="606"/>
    </row>
    <row r="538" spans="1:21">
      <c r="A538" s="43"/>
      <c r="C538" s="43"/>
      <c r="D538" s="43"/>
      <c r="E538" s="43"/>
      <c r="F538" s="43"/>
      <c r="G538" s="43"/>
      <c r="H538" s="43"/>
      <c r="I538" s="43"/>
      <c r="J538" s="43"/>
      <c r="K538" s="43"/>
      <c r="L538" s="43"/>
      <c r="M538" s="43"/>
      <c r="N538" s="43"/>
      <c r="O538" s="43"/>
      <c r="Q538" s="43"/>
      <c r="U538" s="606"/>
    </row>
    <row r="539" spans="1:21">
      <c r="A539" s="43"/>
      <c r="C539" s="43"/>
      <c r="D539" s="43"/>
      <c r="E539" s="43"/>
      <c r="F539" s="43"/>
      <c r="G539" s="43"/>
      <c r="H539" s="43"/>
      <c r="I539" s="43"/>
      <c r="J539" s="43"/>
      <c r="K539" s="43"/>
      <c r="L539" s="43"/>
      <c r="M539" s="43"/>
      <c r="N539" s="43"/>
      <c r="O539" s="43"/>
      <c r="Q539" s="43"/>
      <c r="U539" s="606"/>
    </row>
    <row r="540" spans="1:21">
      <c r="A540" s="43"/>
      <c r="C540" s="43"/>
      <c r="D540" s="43"/>
      <c r="E540" s="43"/>
      <c r="F540" s="43"/>
      <c r="G540" s="43"/>
      <c r="H540" s="43"/>
      <c r="I540" s="43"/>
      <c r="J540" s="43"/>
      <c r="K540" s="43"/>
      <c r="L540" s="43"/>
      <c r="M540" s="43"/>
      <c r="N540" s="43"/>
      <c r="O540" s="43"/>
      <c r="Q540" s="43"/>
      <c r="U540" s="606"/>
    </row>
    <row r="541" spans="1:21">
      <c r="A541" s="43"/>
      <c r="C541" s="43"/>
      <c r="D541" s="43"/>
      <c r="E541" s="43"/>
      <c r="F541" s="43"/>
      <c r="G541" s="43"/>
      <c r="H541" s="43"/>
      <c r="I541" s="43"/>
      <c r="J541" s="43"/>
      <c r="K541" s="43"/>
      <c r="L541" s="43"/>
      <c r="M541" s="43"/>
      <c r="N541" s="43"/>
      <c r="O541" s="43"/>
      <c r="Q541" s="43"/>
      <c r="U541" s="606"/>
    </row>
    <row r="542" spans="1:21">
      <c r="A542" s="43"/>
      <c r="C542" s="43"/>
      <c r="D542" s="43"/>
      <c r="E542" s="43"/>
      <c r="F542" s="43"/>
      <c r="G542" s="43"/>
      <c r="H542" s="43"/>
      <c r="I542" s="43"/>
      <c r="J542" s="43"/>
      <c r="K542" s="43"/>
      <c r="L542" s="43"/>
      <c r="M542" s="43"/>
      <c r="N542" s="43"/>
      <c r="O542" s="43"/>
      <c r="Q542" s="43"/>
      <c r="U542" s="606"/>
    </row>
    <row r="543" spans="1:21">
      <c r="A543" s="43"/>
      <c r="C543" s="43"/>
      <c r="D543" s="43"/>
      <c r="E543" s="43"/>
      <c r="F543" s="43"/>
      <c r="G543" s="43"/>
      <c r="H543" s="43"/>
      <c r="I543" s="43"/>
      <c r="J543" s="43"/>
      <c r="K543" s="43"/>
      <c r="L543" s="43"/>
      <c r="M543" s="43"/>
      <c r="N543" s="43"/>
      <c r="O543" s="43"/>
      <c r="Q543" s="43"/>
      <c r="U543" s="606"/>
    </row>
    <row r="544" spans="1:21">
      <c r="A544" s="43"/>
      <c r="C544" s="43"/>
      <c r="D544" s="43"/>
      <c r="E544" s="43"/>
      <c r="F544" s="43"/>
      <c r="G544" s="43"/>
      <c r="H544" s="43"/>
      <c r="I544" s="43"/>
      <c r="J544" s="43"/>
      <c r="K544" s="43"/>
      <c r="L544" s="43"/>
      <c r="M544" s="43"/>
      <c r="N544" s="43"/>
      <c r="O544" s="43"/>
      <c r="Q544" s="43"/>
      <c r="U544" s="606"/>
    </row>
    <row r="545" spans="1:21">
      <c r="A545" s="43"/>
      <c r="C545" s="43"/>
      <c r="D545" s="43"/>
      <c r="E545" s="43"/>
      <c r="F545" s="43"/>
      <c r="G545" s="43"/>
      <c r="H545" s="43"/>
      <c r="I545" s="43"/>
      <c r="J545" s="43"/>
      <c r="K545" s="43"/>
      <c r="L545" s="43"/>
      <c r="M545" s="43"/>
      <c r="N545" s="43"/>
      <c r="O545" s="43"/>
      <c r="Q545" s="43"/>
      <c r="U545" s="606"/>
    </row>
    <row r="546" spans="1:21">
      <c r="A546" s="43"/>
      <c r="C546" s="43"/>
      <c r="D546" s="43"/>
      <c r="E546" s="43"/>
      <c r="F546" s="43"/>
      <c r="G546" s="43"/>
      <c r="H546" s="43"/>
      <c r="I546" s="43"/>
      <c r="J546" s="43"/>
      <c r="K546" s="43"/>
      <c r="L546" s="43"/>
      <c r="M546" s="43"/>
      <c r="N546" s="43"/>
      <c r="O546" s="43"/>
      <c r="Q546" s="43"/>
      <c r="U546" s="606"/>
    </row>
    <row r="547" spans="1:21">
      <c r="A547" s="43"/>
      <c r="C547" s="43"/>
      <c r="D547" s="43"/>
      <c r="E547" s="43"/>
      <c r="F547" s="43"/>
      <c r="G547" s="43"/>
      <c r="H547" s="43"/>
      <c r="I547" s="43"/>
      <c r="J547" s="43"/>
      <c r="K547" s="43"/>
      <c r="L547" s="43"/>
      <c r="M547" s="43"/>
      <c r="N547" s="43"/>
      <c r="O547" s="43"/>
      <c r="Q547" s="43"/>
      <c r="U547" s="606"/>
    </row>
    <row r="548" spans="1:21">
      <c r="A548" s="43"/>
      <c r="C548" s="43"/>
      <c r="D548" s="43"/>
      <c r="E548" s="43"/>
      <c r="F548" s="43"/>
      <c r="G548" s="43"/>
      <c r="H548" s="43"/>
      <c r="I548" s="43"/>
      <c r="J548" s="43"/>
      <c r="K548" s="43"/>
      <c r="L548" s="43"/>
      <c r="M548" s="43"/>
      <c r="N548" s="43"/>
      <c r="O548" s="43"/>
      <c r="Q548" s="43"/>
      <c r="U548" s="606"/>
    </row>
    <row r="549" spans="1:21">
      <c r="A549" s="43"/>
      <c r="C549" s="43"/>
      <c r="D549" s="43"/>
      <c r="E549" s="43"/>
      <c r="F549" s="43"/>
      <c r="G549" s="43"/>
      <c r="H549" s="43"/>
      <c r="I549" s="43"/>
      <c r="J549" s="43"/>
      <c r="K549" s="43"/>
      <c r="L549" s="43"/>
      <c r="M549" s="43"/>
      <c r="N549" s="43"/>
      <c r="O549" s="43"/>
      <c r="Q549" s="43"/>
      <c r="U549" s="606"/>
    </row>
    <row r="550" spans="1:21">
      <c r="A550" s="43"/>
      <c r="C550" s="43"/>
      <c r="D550" s="43"/>
      <c r="E550" s="43"/>
      <c r="F550" s="43"/>
      <c r="G550" s="43"/>
      <c r="H550" s="43"/>
      <c r="I550" s="43"/>
      <c r="J550" s="43"/>
      <c r="K550" s="43"/>
      <c r="L550" s="43"/>
      <c r="M550" s="43"/>
      <c r="N550" s="43"/>
      <c r="O550" s="43"/>
      <c r="Q550" s="43"/>
      <c r="U550" s="606"/>
    </row>
    <row r="551" spans="1:21">
      <c r="A551" s="43"/>
      <c r="C551" s="43"/>
      <c r="D551" s="43"/>
      <c r="E551" s="43"/>
      <c r="F551" s="43"/>
      <c r="G551" s="43"/>
      <c r="H551" s="43"/>
      <c r="I551" s="43"/>
      <c r="J551" s="43"/>
      <c r="K551" s="43"/>
      <c r="L551" s="43"/>
      <c r="M551" s="43"/>
      <c r="N551" s="43"/>
      <c r="O551" s="43"/>
      <c r="Q551" s="43"/>
      <c r="U551" s="606"/>
    </row>
    <row r="552" spans="1:21">
      <c r="A552" s="43"/>
      <c r="C552" s="43"/>
      <c r="D552" s="43"/>
      <c r="E552" s="43"/>
      <c r="F552" s="43"/>
      <c r="G552" s="43"/>
      <c r="H552" s="43"/>
      <c r="I552" s="43"/>
      <c r="J552" s="43"/>
      <c r="K552" s="43"/>
      <c r="L552" s="43"/>
      <c r="M552" s="43"/>
      <c r="N552" s="43"/>
      <c r="O552" s="43"/>
      <c r="Q552" s="43"/>
      <c r="U552" s="606"/>
    </row>
    <row r="553" spans="1:21">
      <c r="A553" s="43"/>
      <c r="C553" s="43"/>
      <c r="D553" s="43"/>
      <c r="E553" s="43"/>
      <c r="F553" s="43"/>
      <c r="G553" s="43"/>
      <c r="H553" s="43"/>
      <c r="I553" s="43"/>
      <c r="J553" s="43"/>
      <c r="K553" s="43"/>
      <c r="L553" s="43"/>
      <c r="M553" s="43"/>
      <c r="N553" s="43"/>
      <c r="O553" s="43"/>
      <c r="Q553" s="43"/>
      <c r="U553" s="606"/>
    </row>
    <row r="554" spans="1:21">
      <c r="A554" s="43"/>
      <c r="C554" s="43"/>
      <c r="D554" s="43"/>
      <c r="E554" s="43"/>
      <c r="F554" s="43"/>
      <c r="G554" s="43"/>
      <c r="H554" s="43"/>
      <c r="I554" s="43"/>
      <c r="J554" s="43"/>
      <c r="K554" s="43"/>
      <c r="L554" s="43"/>
      <c r="M554" s="43"/>
      <c r="N554" s="43"/>
      <c r="O554" s="43"/>
      <c r="Q554" s="43"/>
      <c r="U554" s="606"/>
    </row>
    <row r="555" spans="1:21">
      <c r="A555" s="43"/>
      <c r="C555" s="43"/>
      <c r="D555" s="43"/>
      <c r="E555" s="43"/>
      <c r="F555" s="43"/>
      <c r="G555" s="43"/>
      <c r="H555" s="43"/>
      <c r="I555" s="43"/>
      <c r="J555" s="43"/>
      <c r="K555" s="43"/>
      <c r="L555" s="43"/>
      <c r="M555" s="43"/>
      <c r="N555" s="43"/>
      <c r="O555" s="43"/>
      <c r="Q555" s="43"/>
      <c r="U555" s="606"/>
    </row>
    <row r="556" spans="1:21">
      <c r="A556" s="43"/>
      <c r="C556" s="43"/>
      <c r="D556" s="43"/>
      <c r="E556" s="43"/>
      <c r="F556" s="43"/>
      <c r="G556" s="43"/>
      <c r="H556" s="43"/>
      <c r="I556" s="43"/>
      <c r="J556" s="43"/>
      <c r="K556" s="43"/>
      <c r="L556" s="43"/>
      <c r="M556" s="43"/>
      <c r="N556" s="43"/>
      <c r="O556" s="43"/>
      <c r="Q556" s="43"/>
      <c r="U556" s="606"/>
    </row>
    <row r="557" spans="1:21">
      <c r="A557" s="43"/>
      <c r="C557" s="43"/>
      <c r="D557" s="43"/>
      <c r="E557" s="43"/>
      <c r="F557" s="43"/>
      <c r="G557" s="43"/>
      <c r="H557" s="43"/>
      <c r="I557" s="43"/>
      <c r="J557" s="43"/>
      <c r="K557" s="43"/>
      <c r="L557" s="43"/>
      <c r="M557" s="43"/>
      <c r="N557" s="43"/>
      <c r="O557" s="43"/>
      <c r="Q557" s="43"/>
      <c r="U557" s="606"/>
    </row>
    <row r="558" spans="1:21">
      <c r="A558" s="43"/>
      <c r="C558" s="43"/>
      <c r="D558" s="43"/>
      <c r="E558" s="43"/>
      <c r="F558" s="43"/>
      <c r="G558" s="43"/>
      <c r="H558" s="43"/>
      <c r="I558" s="43"/>
      <c r="J558" s="43"/>
      <c r="K558" s="43"/>
      <c r="L558" s="43"/>
      <c r="M558" s="43"/>
      <c r="N558" s="43"/>
      <c r="O558" s="43"/>
      <c r="Q558" s="43"/>
      <c r="U558" s="606"/>
    </row>
    <row r="559" spans="1:21">
      <c r="A559" s="43"/>
      <c r="C559" s="43"/>
      <c r="D559" s="43"/>
      <c r="E559" s="43"/>
      <c r="F559" s="43"/>
      <c r="G559" s="43"/>
      <c r="H559" s="43"/>
      <c r="I559" s="43"/>
      <c r="J559" s="43"/>
      <c r="K559" s="43"/>
      <c r="L559" s="43"/>
      <c r="M559" s="43"/>
      <c r="N559" s="43"/>
      <c r="O559" s="43"/>
      <c r="Q559" s="43"/>
      <c r="U559" s="606"/>
    </row>
    <row r="560" spans="1:21">
      <c r="A560" s="43"/>
      <c r="C560" s="43"/>
      <c r="D560" s="43"/>
      <c r="E560" s="43"/>
      <c r="F560" s="43"/>
      <c r="G560" s="43"/>
      <c r="H560" s="43"/>
      <c r="I560" s="43"/>
      <c r="J560" s="43"/>
      <c r="K560" s="43"/>
      <c r="L560" s="43"/>
      <c r="M560" s="43"/>
      <c r="N560" s="43"/>
      <c r="O560" s="43"/>
      <c r="Q560" s="43"/>
      <c r="U560" s="606"/>
    </row>
    <row r="561" spans="1:21">
      <c r="A561" s="43"/>
      <c r="C561" s="43"/>
      <c r="D561" s="43"/>
      <c r="E561" s="43"/>
      <c r="F561" s="43"/>
      <c r="G561" s="43"/>
      <c r="H561" s="43"/>
      <c r="I561" s="43"/>
      <c r="J561" s="43"/>
      <c r="K561" s="43"/>
      <c r="L561" s="43"/>
      <c r="M561" s="43"/>
      <c r="N561" s="43"/>
      <c r="O561" s="43"/>
      <c r="Q561" s="43"/>
      <c r="U561" s="606"/>
    </row>
    <row r="562" spans="1:21">
      <c r="A562" s="43"/>
      <c r="C562" s="43"/>
      <c r="D562" s="43"/>
      <c r="E562" s="43"/>
      <c r="F562" s="43"/>
      <c r="G562" s="43"/>
      <c r="H562" s="43"/>
      <c r="I562" s="43"/>
      <c r="J562" s="43"/>
      <c r="K562" s="43"/>
      <c r="L562" s="43"/>
      <c r="M562" s="43"/>
      <c r="N562" s="43"/>
      <c r="O562" s="43"/>
      <c r="Q562" s="43"/>
      <c r="U562" s="606"/>
    </row>
    <row r="563" spans="1:21">
      <c r="A563" s="43"/>
      <c r="C563" s="43"/>
      <c r="D563" s="43"/>
      <c r="E563" s="43"/>
      <c r="F563" s="43"/>
      <c r="G563" s="43"/>
      <c r="H563" s="43"/>
      <c r="I563" s="43"/>
      <c r="J563" s="43"/>
      <c r="K563" s="43"/>
      <c r="L563" s="43"/>
      <c r="M563" s="43"/>
      <c r="N563" s="43"/>
      <c r="O563" s="43"/>
      <c r="Q563" s="43"/>
      <c r="U563" s="606"/>
    </row>
    <row r="564" spans="1:21">
      <c r="A564" s="43"/>
      <c r="C564" s="43"/>
      <c r="D564" s="43"/>
      <c r="E564" s="43"/>
      <c r="F564" s="43"/>
      <c r="G564" s="43"/>
      <c r="H564" s="43"/>
      <c r="I564" s="43"/>
      <c r="J564" s="43"/>
      <c r="K564" s="43"/>
      <c r="L564" s="43"/>
      <c r="M564" s="43"/>
      <c r="N564" s="43"/>
      <c r="O564" s="43"/>
      <c r="Q564" s="43"/>
      <c r="U564" s="606"/>
    </row>
    <row r="565" spans="1:21">
      <c r="A565" s="43"/>
      <c r="C565" s="43"/>
      <c r="D565" s="43"/>
      <c r="E565" s="43"/>
      <c r="F565" s="43"/>
      <c r="G565" s="43"/>
      <c r="H565" s="43"/>
      <c r="I565" s="43"/>
      <c r="J565" s="43"/>
      <c r="K565" s="43"/>
      <c r="L565" s="43"/>
      <c r="M565" s="43"/>
      <c r="N565" s="43"/>
      <c r="O565" s="43"/>
      <c r="Q565" s="43"/>
      <c r="U565" s="606"/>
    </row>
    <row r="566" spans="1:21">
      <c r="A566" s="43"/>
      <c r="C566" s="43"/>
      <c r="D566" s="43"/>
      <c r="E566" s="43"/>
      <c r="F566" s="43"/>
      <c r="G566" s="43"/>
      <c r="H566" s="43"/>
      <c r="I566" s="43"/>
      <c r="J566" s="43"/>
      <c r="K566" s="43"/>
      <c r="L566" s="43"/>
      <c r="M566" s="43"/>
      <c r="N566" s="43"/>
      <c r="O566" s="43"/>
      <c r="Q566" s="43"/>
      <c r="U566" s="606"/>
    </row>
    <row r="567" spans="1:21">
      <c r="A567" s="43"/>
      <c r="C567" s="43"/>
      <c r="D567" s="43"/>
      <c r="E567" s="43"/>
      <c r="F567" s="43"/>
      <c r="G567" s="43"/>
      <c r="H567" s="43"/>
      <c r="I567" s="43"/>
      <c r="J567" s="43"/>
      <c r="K567" s="43"/>
      <c r="L567" s="43"/>
      <c r="M567" s="43"/>
      <c r="N567" s="43"/>
      <c r="O567" s="43"/>
      <c r="Q567" s="43"/>
      <c r="U567" s="606"/>
    </row>
    <row r="568" spans="1:21">
      <c r="A568" s="43"/>
      <c r="C568" s="43"/>
      <c r="D568" s="43"/>
      <c r="E568" s="43"/>
      <c r="F568" s="43"/>
      <c r="G568" s="43"/>
      <c r="H568" s="43"/>
      <c r="I568" s="43"/>
      <c r="J568" s="43"/>
      <c r="K568" s="43"/>
      <c r="L568" s="43"/>
      <c r="M568" s="43"/>
      <c r="N568" s="43"/>
      <c r="O568" s="43"/>
      <c r="Q568" s="43"/>
      <c r="U568" s="606"/>
    </row>
    <row r="569" spans="1:21">
      <c r="A569" s="43"/>
      <c r="C569" s="43"/>
      <c r="D569" s="43"/>
      <c r="E569" s="43"/>
      <c r="F569" s="43"/>
      <c r="G569" s="43"/>
      <c r="H569" s="43"/>
      <c r="I569" s="43"/>
      <c r="J569" s="43"/>
      <c r="K569" s="43"/>
      <c r="L569" s="43"/>
      <c r="M569" s="43"/>
      <c r="N569" s="43"/>
      <c r="O569" s="43"/>
      <c r="Q569" s="43"/>
      <c r="U569" s="606"/>
    </row>
    <row r="570" spans="1:21">
      <c r="A570" s="43"/>
      <c r="C570" s="43"/>
      <c r="D570" s="43"/>
      <c r="E570" s="43"/>
      <c r="F570" s="43"/>
      <c r="G570" s="43"/>
      <c r="H570" s="43"/>
      <c r="I570" s="43"/>
      <c r="J570" s="43"/>
      <c r="K570" s="43"/>
      <c r="L570" s="43"/>
      <c r="M570" s="43"/>
      <c r="N570" s="43"/>
      <c r="O570" s="43"/>
      <c r="Q570" s="43"/>
      <c r="U570" s="606"/>
    </row>
    <row r="571" spans="1:21">
      <c r="A571" s="43"/>
      <c r="C571" s="43"/>
      <c r="D571" s="43"/>
      <c r="E571" s="43"/>
      <c r="F571" s="43"/>
      <c r="G571" s="43"/>
      <c r="H571" s="43"/>
      <c r="I571" s="43"/>
      <c r="J571" s="43"/>
      <c r="K571" s="43"/>
      <c r="L571" s="43"/>
      <c r="M571" s="43"/>
      <c r="N571" s="43"/>
      <c r="O571" s="43"/>
      <c r="Q571" s="43"/>
      <c r="U571" s="606"/>
    </row>
    <row r="572" spans="1:21">
      <c r="A572" s="43"/>
      <c r="C572" s="43"/>
      <c r="D572" s="43"/>
      <c r="E572" s="43"/>
      <c r="F572" s="43"/>
      <c r="G572" s="43"/>
      <c r="H572" s="43"/>
      <c r="I572" s="43"/>
      <c r="J572" s="43"/>
      <c r="K572" s="43"/>
      <c r="L572" s="43"/>
      <c r="M572" s="43"/>
      <c r="N572" s="43"/>
      <c r="O572" s="43"/>
      <c r="Q572" s="43"/>
      <c r="U572" s="606"/>
    </row>
    <row r="573" spans="1:21">
      <c r="A573" s="43"/>
      <c r="C573" s="43"/>
      <c r="D573" s="43"/>
      <c r="E573" s="43"/>
      <c r="F573" s="43"/>
      <c r="G573" s="43"/>
      <c r="H573" s="43"/>
      <c r="I573" s="43"/>
      <c r="J573" s="43"/>
      <c r="K573" s="43"/>
      <c r="L573" s="43"/>
      <c r="M573" s="43"/>
      <c r="N573" s="43"/>
      <c r="O573" s="43"/>
      <c r="Q573" s="43"/>
      <c r="U573" s="606"/>
    </row>
    <row r="574" spans="1:21">
      <c r="A574" s="43"/>
      <c r="C574" s="43"/>
      <c r="D574" s="43"/>
      <c r="E574" s="43"/>
      <c r="F574" s="43"/>
      <c r="G574" s="43"/>
      <c r="H574" s="43"/>
      <c r="I574" s="43"/>
      <c r="J574" s="43"/>
      <c r="K574" s="43"/>
      <c r="L574" s="43"/>
      <c r="M574" s="43"/>
      <c r="N574" s="43"/>
      <c r="O574" s="43"/>
      <c r="Q574" s="43"/>
      <c r="U574" s="606"/>
    </row>
    <row r="575" spans="1:21">
      <c r="A575" s="43"/>
      <c r="C575" s="43"/>
      <c r="D575" s="43"/>
      <c r="E575" s="43"/>
      <c r="F575" s="43"/>
      <c r="G575" s="43"/>
      <c r="H575" s="43"/>
      <c r="I575" s="43"/>
      <c r="J575" s="43"/>
      <c r="K575" s="43"/>
      <c r="L575" s="43"/>
      <c r="M575" s="43"/>
      <c r="N575" s="43"/>
      <c r="O575" s="43"/>
      <c r="Q575" s="43"/>
      <c r="U575" s="606"/>
    </row>
    <row r="576" spans="1:21">
      <c r="A576" s="43"/>
      <c r="C576" s="43"/>
      <c r="D576" s="43"/>
      <c r="E576" s="43"/>
      <c r="F576" s="43"/>
      <c r="G576" s="43"/>
      <c r="H576" s="43"/>
      <c r="I576" s="43"/>
      <c r="J576" s="43"/>
      <c r="K576" s="43"/>
      <c r="L576" s="43"/>
      <c r="M576" s="43"/>
      <c r="N576" s="43"/>
      <c r="O576" s="43"/>
      <c r="Q576" s="43"/>
      <c r="U576" s="606"/>
    </row>
    <row r="577" spans="1:21">
      <c r="A577" s="43"/>
      <c r="C577" s="43"/>
      <c r="D577" s="43"/>
      <c r="E577" s="43"/>
      <c r="F577" s="43"/>
      <c r="G577" s="43"/>
      <c r="H577" s="43"/>
      <c r="I577" s="43"/>
      <c r="J577" s="43"/>
      <c r="K577" s="43"/>
      <c r="L577" s="43"/>
      <c r="M577" s="43"/>
      <c r="N577" s="43"/>
      <c r="O577" s="43"/>
      <c r="Q577" s="43"/>
      <c r="U577" s="606"/>
    </row>
    <row r="578" spans="1:21">
      <c r="A578" s="43"/>
      <c r="C578" s="43"/>
      <c r="D578" s="43"/>
      <c r="E578" s="43"/>
      <c r="F578" s="43"/>
      <c r="G578" s="43"/>
      <c r="H578" s="43"/>
      <c r="I578" s="43"/>
      <c r="J578" s="43"/>
      <c r="K578" s="43"/>
      <c r="L578" s="43"/>
      <c r="M578" s="43"/>
      <c r="N578" s="43"/>
      <c r="O578" s="43"/>
      <c r="Q578" s="43"/>
      <c r="U578" s="606"/>
    </row>
    <row r="579" spans="1:21">
      <c r="A579" s="43"/>
      <c r="C579" s="43"/>
      <c r="D579" s="43"/>
      <c r="E579" s="43"/>
      <c r="F579" s="43"/>
      <c r="G579" s="43"/>
      <c r="H579" s="43"/>
      <c r="I579" s="43"/>
      <c r="J579" s="43"/>
      <c r="K579" s="43"/>
      <c r="L579" s="43"/>
      <c r="M579" s="43"/>
      <c r="N579" s="43"/>
      <c r="O579" s="43"/>
      <c r="Q579" s="43"/>
      <c r="U579" s="606"/>
    </row>
    <row r="580" spans="1:21">
      <c r="A580" s="43"/>
      <c r="C580" s="43"/>
      <c r="D580" s="43"/>
      <c r="E580" s="43"/>
      <c r="F580" s="43"/>
      <c r="G580" s="43"/>
      <c r="H580" s="43"/>
      <c r="I580" s="43"/>
      <c r="J580" s="43"/>
      <c r="K580" s="43"/>
      <c r="L580" s="43"/>
      <c r="M580" s="43"/>
      <c r="N580" s="43"/>
      <c r="O580" s="43"/>
      <c r="Q580" s="43"/>
      <c r="U580" s="606"/>
    </row>
    <row r="581" spans="1:21">
      <c r="A581" s="43"/>
      <c r="C581" s="43"/>
      <c r="D581" s="43"/>
      <c r="E581" s="43"/>
      <c r="F581" s="43"/>
      <c r="G581" s="43"/>
      <c r="H581" s="43"/>
      <c r="I581" s="43"/>
      <c r="J581" s="43"/>
      <c r="K581" s="43"/>
      <c r="L581" s="43"/>
      <c r="M581" s="43"/>
      <c r="N581" s="43"/>
      <c r="O581" s="43"/>
      <c r="Q581" s="43"/>
      <c r="U581" s="606"/>
    </row>
    <row r="582" spans="1:21">
      <c r="A582" s="43"/>
      <c r="C582" s="43"/>
      <c r="D582" s="43"/>
      <c r="E582" s="43"/>
      <c r="F582" s="43"/>
      <c r="G582" s="43"/>
      <c r="H582" s="43"/>
      <c r="I582" s="43"/>
      <c r="J582" s="43"/>
      <c r="K582" s="43"/>
      <c r="L582" s="43"/>
      <c r="M582" s="43"/>
      <c r="N582" s="43"/>
      <c r="O582" s="43"/>
      <c r="Q582" s="43"/>
      <c r="U582" s="606"/>
    </row>
    <row r="583" spans="1:21">
      <c r="A583" s="43"/>
      <c r="C583" s="43"/>
      <c r="D583" s="43"/>
      <c r="E583" s="43"/>
      <c r="F583" s="43"/>
      <c r="G583" s="43"/>
      <c r="H583" s="43"/>
      <c r="I583" s="43"/>
      <c r="J583" s="43"/>
      <c r="K583" s="43"/>
      <c r="L583" s="43"/>
      <c r="M583" s="43"/>
      <c r="N583" s="43"/>
      <c r="O583" s="43"/>
      <c r="Q583" s="43"/>
      <c r="U583" s="606"/>
    </row>
    <row r="584" spans="1:21">
      <c r="A584" s="43"/>
      <c r="C584" s="43"/>
      <c r="D584" s="43"/>
      <c r="E584" s="43"/>
      <c r="F584" s="43"/>
      <c r="G584" s="43"/>
      <c r="H584" s="43"/>
      <c r="I584" s="43"/>
      <c r="J584" s="43"/>
      <c r="K584" s="43"/>
      <c r="L584" s="43"/>
      <c r="M584" s="43"/>
      <c r="N584" s="43"/>
      <c r="O584" s="43"/>
      <c r="Q584" s="43"/>
      <c r="U584" s="606"/>
    </row>
    <row r="585" spans="1:21">
      <c r="A585" s="43"/>
      <c r="C585" s="43"/>
      <c r="D585" s="43"/>
      <c r="E585" s="43"/>
      <c r="F585" s="43"/>
      <c r="G585" s="43"/>
      <c r="H585" s="43"/>
      <c r="I585" s="43"/>
      <c r="J585" s="43"/>
      <c r="K585" s="43"/>
      <c r="L585" s="43"/>
      <c r="M585" s="43"/>
      <c r="N585" s="43"/>
      <c r="O585" s="43"/>
      <c r="Q585" s="43"/>
      <c r="U585" s="606"/>
    </row>
    <row r="586" spans="1:21">
      <c r="A586" s="43"/>
      <c r="C586" s="43"/>
      <c r="D586" s="43"/>
      <c r="E586" s="43"/>
      <c r="F586" s="43"/>
      <c r="G586" s="43"/>
      <c r="H586" s="43"/>
      <c r="I586" s="43"/>
      <c r="J586" s="43"/>
      <c r="K586" s="43"/>
      <c r="L586" s="43"/>
      <c r="M586" s="43"/>
      <c r="N586" s="43"/>
      <c r="O586" s="43"/>
      <c r="Q586" s="43"/>
      <c r="U586" s="606"/>
    </row>
    <row r="587" spans="1:21">
      <c r="A587" s="43"/>
      <c r="C587" s="43"/>
      <c r="D587" s="43"/>
      <c r="E587" s="43"/>
      <c r="F587" s="43"/>
      <c r="G587" s="43"/>
      <c r="H587" s="43"/>
      <c r="I587" s="43"/>
      <c r="J587" s="43"/>
      <c r="K587" s="43"/>
      <c r="L587" s="43"/>
      <c r="M587" s="43"/>
      <c r="N587" s="43"/>
      <c r="O587" s="43"/>
      <c r="Q587" s="43"/>
      <c r="U587" s="606"/>
    </row>
    <row r="588" spans="1:21">
      <c r="A588" s="43"/>
      <c r="C588" s="43"/>
      <c r="D588" s="43"/>
      <c r="E588" s="43"/>
      <c r="F588" s="43"/>
      <c r="G588" s="43"/>
      <c r="H588" s="43"/>
      <c r="I588" s="43"/>
      <c r="J588" s="43"/>
      <c r="K588" s="43"/>
      <c r="L588" s="43"/>
      <c r="M588" s="43"/>
      <c r="N588" s="43"/>
      <c r="O588" s="43"/>
      <c r="Q588" s="43"/>
      <c r="U588" s="606"/>
    </row>
    <row r="589" spans="1:21">
      <c r="A589" s="43"/>
      <c r="C589" s="43"/>
      <c r="D589" s="43"/>
      <c r="E589" s="43"/>
      <c r="F589" s="43"/>
      <c r="G589" s="43"/>
      <c r="H589" s="43"/>
      <c r="I589" s="43"/>
      <c r="J589" s="43"/>
      <c r="K589" s="43"/>
      <c r="L589" s="43"/>
      <c r="M589" s="43"/>
      <c r="N589" s="43"/>
      <c r="O589" s="43"/>
      <c r="Q589" s="43"/>
      <c r="U589" s="606"/>
    </row>
    <row r="590" spans="1:21">
      <c r="A590" s="43"/>
      <c r="C590" s="43"/>
      <c r="D590" s="43"/>
      <c r="E590" s="43"/>
      <c r="F590" s="43"/>
      <c r="G590" s="43"/>
      <c r="H590" s="43"/>
      <c r="I590" s="43"/>
      <c r="J590" s="43"/>
      <c r="K590" s="43"/>
      <c r="L590" s="43"/>
      <c r="M590" s="43"/>
      <c r="N590" s="43"/>
      <c r="O590" s="43"/>
      <c r="Q590" s="43"/>
      <c r="U590" s="606"/>
    </row>
    <row r="591" spans="1:21">
      <c r="A591" s="43"/>
      <c r="C591" s="43"/>
      <c r="D591" s="43"/>
      <c r="E591" s="43"/>
      <c r="F591" s="43"/>
      <c r="G591" s="43"/>
      <c r="H591" s="43"/>
      <c r="I591" s="43"/>
      <c r="J591" s="43"/>
      <c r="K591" s="43"/>
      <c r="L591" s="43"/>
      <c r="M591" s="43"/>
      <c r="N591" s="43"/>
      <c r="O591" s="43"/>
      <c r="Q591" s="43"/>
      <c r="U591" s="606"/>
    </row>
    <row r="592" spans="1:21">
      <c r="A592" s="43"/>
      <c r="C592" s="43"/>
      <c r="D592" s="43"/>
      <c r="E592" s="43"/>
      <c r="F592" s="43"/>
      <c r="G592" s="43"/>
      <c r="H592" s="43"/>
      <c r="I592" s="43"/>
      <c r="J592" s="43"/>
      <c r="K592" s="43"/>
      <c r="L592" s="43"/>
      <c r="M592" s="43"/>
      <c r="N592" s="43"/>
      <c r="O592" s="43"/>
      <c r="Q592" s="43"/>
      <c r="U592" s="606"/>
    </row>
    <row r="593" spans="1:21">
      <c r="A593" s="43"/>
      <c r="C593" s="43"/>
      <c r="D593" s="43"/>
      <c r="E593" s="43"/>
      <c r="F593" s="43"/>
      <c r="G593" s="43"/>
      <c r="H593" s="43"/>
      <c r="I593" s="43"/>
      <c r="J593" s="43"/>
      <c r="K593" s="43"/>
      <c r="L593" s="43"/>
      <c r="M593" s="43"/>
      <c r="N593" s="43"/>
      <c r="O593" s="43"/>
      <c r="Q593" s="43"/>
      <c r="U593" s="606"/>
    </row>
    <row r="594" spans="1:21">
      <c r="A594" s="43"/>
      <c r="C594" s="43"/>
      <c r="D594" s="43"/>
      <c r="E594" s="43"/>
      <c r="F594" s="43"/>
      <c r="G594" s="43"/>
      <c r="H594" s="43"/>
      <c r="I594" s="43"/>
      <c r="J594" s="43"/>
      <c r="K594" s="43"/>
      <c r="L594" s="43"/>
      <c r="M594" s="43"/>
      <c r="N594" s="43"/>
      <c r="O594" s="43"/>
      <c r="Q594" s="43"/>
      <c r="U594" s="606"/>
    </row>
    <row r="595" spans="1:21">
      <c r="A595" s="43"/>
      <c r="C595" s="43"/>
      <c r="D595" s="43"/>
      <c r="E595" s="43"/>
      <c r="F595" s="43"/>
      <c r="G595" s="43"/>
      <c r="H595" s="43"/>
      <c r="I595" s="43"/>
      <c r="J595" s="43"/>
      <c r="K595" s="43"/>
      <c r="L595" s="43"/>
      <c r="M595" s="43"/>
      <c r="N595" s="43"/>
      <c r="O595" s="43"/>
      <c r="Q595" s="43"/>
      <c r="U595" s="606"/>
    </row>
    <row r="596" spans="1:21">
      <c r="A596" s="43"/>
      <c r="C596" s="43"/>
      <c r="D596" s="43"/>
      <c r="E596" s="43"/>
      <c r="F596" s="43"/>
      <c r="G596" s="43"/>
      <c r="H596" s="43"/>
      <c r="I596" s="43"/>
      <c r="J596" s="43"/>
      <c r="K596" s="43"/>
      <c r="L596" s="43"/>
      <c r="M596" s="43"/>
      <c r="N596" s="43"/>
      <c r="O596" s="43"/>
      <c r="Q596" s="43"/>
      <c r="U596" s="606"/>
    </row>
    <row r="597" spans="1:21">
      <c r="A597" s="43"/>
      <c r="C597" s="43"/>
      <c r="D597" s="43"/>
      <c r="E597" s="43"/>
      <c r="F597" s="43"/>
      <c r="G597" s="43"/>
      <c r="H597" s="43"/>
      <c r="I597" s="43"/>
      <c r="J597" s="43"/>
      <c r="K597" s="43"/>
      <c r="L597" s="43"/>
      <c r="M597" s="43"/>
      <c r="N597" s="43"/>
      <c r="O597" s="43"/>
      <c r="Q597" s="43"/>
      <c r="U597" s="606"/>
    </row>
    <row r="598" spans="1:21">
      <c r="A598" s="43"/>
      <c r="C598" s="43"/>
      <c r="D598" s="43"/>
      <c r="E598" s="43"/>
      <c r="F598" s="43"/>
      <c r="G598" s="43"/>
      <c r="H598" s="43"/>
      <c r="I598" s="43"/>
      <c r="J598" s="43"/>
      <c r="K598" s="43"/>
      <c r="L598" s="43"/>
      <c r="M598" s="43"/>
      <c r="N598" s="43"/>
      <c r="O598" s="43"/>
      <c r="Q598" s="43"/>
      <c r="U598" s="606"/>
    </row>
    <row r="599" spans="1:21">
      <c r="A599" s="43"/>
      <c r="C599" s="43"/>
      <c r="D599" s="43"/>
      <c r="E599" s="43"/>
      <c r="F599" s="43"/>
      <c r="G599" s="43"/>
      <c r="H599" s="43"/>
      <c r="I599" s="43"/>
      <c r="J599" s="43"/>
      <c r="K599" s="43"/>
      <c r="L599" s="43"/>
      <c r="M599" s="43"/>
      <c r="N599" s="43"/>
      <c r="O599" s="43"/>
      <c r="Q599" s="43"/>
      <c r="U599" s="606"/>
    </row>
    <row r="600" spans="1:21">
      <c r="A600" s="43"/>
      <c r="C600" s="43"/>
      <c r="D600" s="43"/>
      <c r="E600" s="43"/>
      <c r="F600" s="43"/>
      <c r="G600" s="43"/>
      <c r="H600" s="43"/>
      <c r="I600" s="43"/>
      <c r="J600" s="43"/>
      <c r="K600" s="43"/>
      <c r="L600" s="43"/>
      <c r="M600" s="43"/>
      <c r="N600" s="43"/>
      <c r="O600" s="43"/>
      <c r="Q600" s="43"/>
      <c r="U600" s="606"/>
    </row>
    <row r="601" spans="1:21">
      <c r="A601" s="43"/>
      <c r="C601" s="43"/>
      <c r="D601" s="43"/>
      <c r="E601" s="43"/>
      <c r="F601" s="43"/>
      <c r="G601" s="43"/>
      <c r="H601" s="43"/>
      <c r="I601" s="43"/>
      <c r="J601" s="43"/>
      <c r="K601" s="43"/>
      <c r="L601" s="43"/>
      <c r="M601" s="43"/>
      <c r="N601" s="43"/>
      <c r="O601" s="43"/>
      <c r="Q601" s="43"/>
      <c r="U601" s="606"/>
    </row>
    <row r="602" spans="1:21">
      <c r="A602" s="43"/>
      <c r="C602" s="43"/>
      <c r="D602" s="43"/>
      <c r="E602" s="43"/>
      <c r="F602" s="43"/>
      <c r="G602" s="43"/>
      <c r="H602" s="43"/>
      <c r="I602" s="43"/>
      <c r="J602" s="43"/>
      <c r="K602" s="43"/>
      <c r="L602" s="43"/>
      <c r="M602" s="43"/>
      <c r="N602" s="43"/>
      <c r="O602" s="43"/>
      <c r="Q602" s="43"/>
      <c r="U602" s="606"/>
    </row>
    <row r="603" spans="1:21">
      <c r="A603" s="43"/>
      <c r="C603" s="43"/>
      <c r="D603" s="43"/>
      <c r="E603" s="43"/>
      <c r="F603" s="43"/>
      <c r="G603" s="43"/>
      <c r="H603" s="43"/>
      <c r="I603" s="43"/>
      <c r="J603" s="43"/>
      <c r="K603" s="43"/>
      <c r="L603" s="43"/>
      <c r="M603" s="43"/>
      <c r="N603" s="43"/>
      <c r="O603" s="43"/>
      <c r="Q603" s="43"/>
      <c r="U603" s="606"/>
    </row>
    <row r="604" spans="1:21">
      <c r="A604" s="43"/>
      <c r="C604" s="43"/>
      <c r="D604" s="43"/>
      <c r="E604" s="43"/>
      <c r="F604" s="43"/>
      <c r="G604" s="43"/>
      <c r="H604" s="43"/>
      <c r="I604" s="43"/>
      <c r="J604" s="43"/>
      <c r="K604" s="43"/>
      <c r="L604" s="43"/>
      <c r="M604" s="43"/>
      <c r="N604" s="43"/>
      <c r="O604" s="43"/>
      <c r="Q604" s="43"/>
      <c r="U604" s="606"/>
    </row>
    <row r="605" spans="1:21">
      <c r="A605" s="43"/>
      <c r="C605" s="43"/>
      <c r="D605" s="43"/>
      <c r="E605" s="43"/>
      <c r="F605" s="43"/>
      <c r="G605" s="43"/>
      <c r="H605" s="43"/>
      <c r="I605" s="43"/>
      <c r="J605" s="43"/>
      <c r="K605" s="43"/>
      <c r="L605" s="43"/>
      <c r="M605" s="43"/>
      <c r="N605" s="43"/>
      <c r="O605" s="43"/>
      <c r="Q605" s="43"/>
      <c r="U605" s="606"/>
    </row>
    <row r="606" spans="1:21">
      <c r="A606" s="43"/>
      <c r="C606" s="43"/>
      <c r="D606" s="43"/>
      <c r="E606" s="43"/>
      <c r="F606" s="43"/>
      <c r="G606" s="43"/>
      <c r="H606" s="43"/>
      <c r="I606" s="43"/>
      <c r="J606" s="43"/>
      <c r="K606" s="43"/>
      <c r="L606" s="43"/>
      <c r="M606" s="43"/>
      <c r="N606" s="43"/>
      <c r="O606" s="43"/>
      <c r="Q606" s="43"/>
      <c r="U606" s="606"/>
    </row>
    <row r="607" spans="1:21">
      <c r="A607" s="43"/>
      <c r="C607" s="43"/>
      <c r="D607" s="43"/>
      <c r="E607" s="43"/>
      <c r="F607" s="43"/>
      <c r="G607" s="43"/>
      <c r="H607" s="43"/>
      <c r="I607" s="43"/>
      <c r="J607" s="43"/>
      <c r="K607" s="43"/>
      <c r="L607" s="43"/>
      <c r="M607" s="43"/>
      <c r="N607" s="43"/>
      <c r="O607" s="43"/>
      <c r="Q607" s="43"/>
      <c r="U607" s="606"/>
    </row>
    <row r="608" spans="1:21">
      <c r="A608" s="43"/>
      <c r="C608" s="43"/>
      <c r="D608" s="43"/>
      <c r="E608" s="43"/>
      <c r="F608" s="43"/>
      <c r="G608" s="43"/>
      <c r="H608" s="43"/>
      <c r="I608" s="43"/>
      <c r="J608" s="43"/>
      <c r="K608" s="43"/>
      <c r="L608" s="43"/>
      <c r="M608" s="43"/>
      <c r="N608" s="43"/>
      <c r="O608" s="43"/>
      <c r="Q608" s="43"/>
      <c r="U608" s="606"/>
    </row>
    <row r="609" spans="1:21">
      <c r="A609" s="43"/>
      <c r="C609" s="43"/>
      <c r="D609" s="43"/>
      <c r="E609" s="43"/>
      <c r="F609" s="43"/>
      <c r="G609" s="43"/>
      <c r="H609" s="43"/>
      <c r="I609" s="43"/>
      <c r="J609" s="43"/>
      <c r="K609" s="43"/>
      <c r="L609" s="43"/>
      <c r="M609" s="43"/>
      <c r="N609" s="43"/>
      <c r="O609" s="43"/>
      <c r="Q609" s="43"/>
      <c r="U609" s="606"/>
    </row>
    <row r="610" spans="1:21">
      <c r="A610" s="43"/>
      <c r="C610" s="43"/>
      <c r="D610" s="43"/>
      <c r="E610" s="43"/>
      <c r="F610" s="43"/>
      <c r="G610" s="43"/>
      <c r="H610" s="43"/>
      <c r="I610" s="43"/>
      <c r="J610" s="43"/>
      <c r="K610" s="43"/>
      <c r="L610" s="43"/>
      <c r="M610" s="43"/>
      <c r="N610" s="43"/>
      <c r="O610" s="43"/>
      <c r="Q610" s="43"/>
      <c r="U610" s="606"/>
    </row>
    <row r="611" spans="1:21">
      <c r="A611" s="43"/>
      <c r="C611" s="43"/>
      <c r="D611" s="43"/>
      <c r="E611" s="43"/>
      <c r="F611" s="43"/>
      <c r="G611" s="43"/>
      <c r="H611" s="43"/>
      <c r="I611" s="43"/>
      <c r="J611" s="43"/>
      <c r="K611" s="43"/>
      <c r="L611" s="43"/>
      <c r="M611" s="43"/>
      <c r="N611" s="43"/>
      <c r="O611" s="43"/>
      <c r="Q611" s="43"/>
      <c r="U611" s="606"/>
    </row>
    <row r="612" spans="1:21">
      <c r="A612" s="43"/>
      <c r="C612" s="43"/>
      <c r="D612" s="43"/>
      <c r="E612" s="43"/>
      <c r="F612" s="43"/>
      <c r="G612" s="43"/>
      <c r="H612" s="43"/>
      <c r="I612" s="43"/>
      <c r="J612" s="43"/>
      <c r="K612" s="43"/>
      <c r="L612" s="43"/>
      <c r="M612" s="43"/>
      <c r="N612" s="43"/>
      <c r="O612" s="43"/>
      <c r="Q612" s="43"/>
      <c r="U612" s="606"/>
    </row>
    <row r="613" spans="1:21">
      <c r="A613" s="43"/>
      <c r="C613" s="43"/>
      <c r="D613" s="43"/>
      <c r="E613" s="43"/>
      <c r="F613" s="43"/>
      <c r="G613" s="43"/>
      <c r="H613" s="43"/>
      <c r="I613" s="43"/>
      <c r="J613" s="43"/>
      <c r="K613" s="43"/>
      <c r="L613" s="43"/>
      <c r="M613" s="43"/>
      <c r="N613" s="43"/>
      <c r="O613" s="43"/>
      <c r="Q613" s="43"/>
      <c r="U613" s="606"/>
    </row>
    <row r="614" spans="1:21">
      <c r="A614" s="43"/>
      <c r="C614" s="43"/>
      <c r="D614" s="43"/>
      <c r="E614" s="43"/>
      <c r="F614" s="43"/>
      <c r="G614" s="43"/>
      <c r="H614" s="43"/>
      <c r="I614" s="43"/>
      <c r="J614" s="43"/>
      <c r="K614" s="43"/>
      <c r="L614" s="43"/>
      <c r="M614" s="43"/>
      <c r="N614" s="43"/>
      <c r="O614" s="43"/>
      <c r="Q614" s="43"/>
      <c r="U614" s="606"/>
    </row>
    <row r="615" spans="1:21">
      <c r="A615" s="43"/>
      <c r="C615" s="43"/>
      <c r="D615" s="43"/>
      <c r="E615" s="43"/>
      <c r="F615" s="43"/>
      <c r="G615" s="43"/>
      <c r="H615" s="43"/>
      <c r="I615" s="43"/>
      <c r="J615" s="43"/>
      <c r="K615" s="43"/>
      <c r="L615" s="43"/>
      <c r="M615" s="43"/>
      <c r="N615" s="43"/>
      <c r="O615" s="43"/>
      <c r="Q615" s="43"/>
      <c r="U615" s="606"/>
    </row>
    <row r="616" spans="1:21">
      <c r="A616" s="43"/>
      <c r="C616" s="43"/>
      <c r="D616" s="43"/>
      <c r="E616" s="43"/>
      <c r="F616" s="43"/>
      <c r="G616" s="43"/>
      <c r="H616" s="43"/>
      <c r="I616" s="43"/>
      <c r="J616" s="43"/>
      <c r="K616" s="43"/>
      <c r="L616" s="43"/>
      <c r="M616" s="43"/>
      <c r="N616" s="43"/>
      <c r="O616" s="43"/>
      <c r="Q616" s="43"/>
      <c r="U616" s="606"/>
    </row>
    <row r="617" spans="1:21">
      <c r="A617" s="43"/>
      <c r="C617" s="43"/>
      <c r="D617" s="43"/>
      <c r="E617" s="43"/>
      <c r="F617" s="43"/>
      <c r="G617" s="43"/>
      <c r="H617" s="43"/>
      <c r="I617" s="43"/>
      <c r="J617" s="43"/>
      <c r="K617" s="43"/>
      <c r="L617" s="43"/>
      <c r="M617" s="43"/>
      <c r="N617" s="43"/>
      <c r="O617" s="43"/>
      <c r="Q617" s="43"/>
      <c r="U617" s="606"/>
    </row>
    <row r="618" spans="1:21">
      <c r="A618" s="43"/>
      <c r="C618" s="43"/>
      <c r="D618" s="43"/>
      <c r="E618" s="43"/>
      <c r="F618" s="43"/>
      <c r="G618" s="43"/>
      <c r="H618" s="43"/>
      <c r="I618" s="43"/>
      <c r="J618" s="43"/>
      <c r="K618" s="43"/>
      <c r="L618" s="43"/>
      <c r="M618" s="43"/>
      <c r="N618" s="43"/>
      <c r="O618" s="43"/>
      <c r="Q618" s="43"/>
      <c r="U618" s="606"/>
    </row>
    <row r="619" spans="1:21">
      <c r="A619" s="43"/>
      <c r="C619" s="43"/>
      <c r="D619" s="43"/>
      <c r="E619" s="43"/>
      <c r="F619" s="43"/>
      <c r="G619" s="43"/>
      <c r="H619" s="43"/>
      <c r="I619" s="43"/>
      <c r="J619" s="43"/>
      <c r="K619" s="43"/>
      <c r="L619" s="43"/>
      <c r="M619" s="43"/>
      <c r="N619" s="43"/>
      <c r="O619" s="43"/>
      <c r="Q619" s="43"/>
      <c r="U619" s="606"/>
    </row>
    <row r="620" spans="1:21">
      <c r="A620" s="43"/>
      <c r="C620" s="43"/>
      <c r="D620" s="43"/>
      <c r="E620" s="43"/>
      <c r="F620" s="43"/>
      <c r="G620" s="43"/>
      <c r="H620" s="43"/>
      <c r="I620" s="43"/>
      <c r="J620" s="43"/>
      <c r="K620" s="43"/>
      <c r="L620" s="43"/>
      <c r="M620" s="43"/>
      <c r="N620" s="43"/>
      <c r="O620" s="43"/>
      <c r="Q620" s="43"/>
      <c r="U620" s="606"/>
    </row>
    <row r="621" spans="1:21">
      <c r="A621" s="43"/>
      <c r="C621" s="43"/>
      <c r="D621" s="43"/>
      <c r="E621" s="43"/>
      <c r="F621" s="43"/>
      <c r="G621" s="43"/>
      <c r="H621" s="43"/>
      <c r="I621" s="43"/>
      <c r="J621" s="43"/>
      <c r="K621" s="43"/>
      <c r="L621" s="43"/>
      <c r="M621" s="43"/>
      <c r="N621" s="43"/>
      <c r="O621" s="43"/>
      <c r="Q621" s="43"/>
      <c r="U621" s="606"/>
    </row>
    <row r="622" spans="1:21">
      <c r="A622" s="43"/>
      <c r="C622" s="43"/>
      <c r="D622" s="43"/>
      <c r="E622" s="43"/>
      <c r="F622" s="43"/>
      <c r="G622" s="43"/>
      <c r="H622" s="43"/>
      <c r="I622" s="43"/>
      <c r="J622" s="43"/>
      <c r="K622" s="43"/>
      <c r="L622" s="43"/>
      <c r="M622" s="43"/>
      <c r="N622" s="43"/>
      <c r="O622" s="43"/>
      <c r="Q622" s="43"/>
      <c r="U622" s="606"/>
    </row>
    <row r="623" spans="1:21">
      <c r="A623" s="43"/>
      <c r="C623" s="43"/>
      <c r="D623" s="43"/>
      <c r="E623" s="43"/>
      <c r="F623" s="43"/>
      <c r="G623" s="43"/>
      <c r="H623" s="43"/>
      <c r="I623" s="43"/>
      <c r="J623" s="43"/>
      <c r="K623" s="43"/>
      <c r="L623" s="43"/>
      <c r="M623" s="43"/>
      <c r="N623" s="43"/>
      <c r="O623" s="43"/>
      <c r="Q623" s="43"/>
      <c r="U623" s="606"/>
    </row>
    <row r="624" spans="1:21">
      <c r="A624" s="43"/>
      <c r="C624" s="43"/>
      <c r="D624" s="43"/>
      <c r="E624" s="43"/>
      <c r="F624" s="43"/>
      <c r="G624" s="43"/>
      <c r="H624" s="43"/>
      <c r="I624" s="43"/>
      <c r="J624" s="43"/>
      <c r="K624" s="43"/>
      <c r="L624" s="43"/>
      <c r="M624" s="43"/>
      <c r="N624" s="43"/>
      <c r="O624" s="43"/>
      <c r="Q624" s="43"/>
      <c r="U624" s="606"/>
    </row>
    <row r="625" spans="1:21">
      <c r="A625" s="43"/>
      <c r="C625" s="43"/>
      <c r="D625" s="43"/>
      <c r="E625" s="43"/>
      <c r="F625" s="43"/>
      <c r="G625" s="43"/>
      <c r="H625" s="43"/>
      <c r="I625" s="43"/>
      <c r="J625" s="43"/>
      <c r="K625" s="43"/>
      <c r="L625" s="43"/>
      <c r="M625" s="43"/>
      <c r="N625" s="43"/>
      <c r="O625" s="43"/>
      <c r="Q625" s="43"/>
      <c r="U625" s="606"/>
    </row>
    <row r="626" spans="1:21">
      <c r="A626" s="43"/>
      <c r="C626" s="43"/>
      <c r="D626" s="43"/>
      <c r="E626" s="43"/>
      <c r="F626" s="43"/>
      <c r="G626" s="43"/>
      <c r="H626" s="43"/>
      <c r="I626" s="43"/>
      <c r="J626" s="43"/>
      <c r="K626" s="43"/>
      <c r="L626" s="43"/>
      <c r="M626" s="43"/>
      <c r="N626" s="43"/>
      <c r="O626" s="43"/>
      <c r="Q626" s="43"/>
      <c r="U626" s="606"/>
    </row>
    <row r="627" spans="1:21">
      <c r="A627" s="43"/>
      <c r="C627" s="43"/>
      <c r="D627" s="43"/>
      <c r="E627" s="43"/>
      <c r="F627" s="43"/>
      <c r="G627" s="43"/>
      <c r="H627" s="43"/>
      <c r="I627" s="43"/>
      <c r="J627" s="43"/>
      <c r="K627" s="43"/>
      <c r="L627" s="43"/>
      <c r="M627" s="43"/>
      <c r="N627" s="43"/>
      <c r="O627" s="43"/>
      <c r="Q627" s="43"/>
      <c r="U627" s="606"/>
    </row>
    <row r="628" spans="1:21">
      <c r="A628" s="43"/>
      <c r="C628" s="43"/>
      <c r="D628" s="43"/>
      <c r="E628" s="43"/>
      <c r="F628" s="43"/>
      <c r="G628" s="43"/>
      <c r="H628" s="43"/>
      <c r="I628" s="43"/>
      <c r="J628" s="43"/>
      <c r="K628" s="43"/>
      <c r="L628" s="43"/>
      <c r="M628" s="43"/>
      <c r="N628" s="43"/>
      <c r="O628" s="43"/>
      <c r="Q628" s="43"/>
      <c r="U628" s="606"/>
    </row>
    <row r="629" spans="1:21">
      <c r="A629" s="43"/>
      <c r="C629" s="43"/>
      <c r="D629" s="43"/>
      <c r="E629" s="43"/>
      <c r="F629" s="43"/>
      <c r="G629" s="43"/>
      <c r="H629" s="43"/>
      <c r="I629" s="43"/>
      <c r="J629" s="43"/>
      <c r="K629" s="43"/>
      <c r="L629" s="43"/>
      <c r="M629" s="43"/>
      <c r="N629" s="43"/>
      <c r="O629" s="43"/>
      <c r="Q629" s="43"/>
      <c r="U629" s="606"/>
    </row>
    <row r="630" spans="1:21">
      <c r="A630" s="43"/>
      <c r="C630" s="43"/>
      <c r="D630" s="43"/>
      <c r="E630" s="43"/>
      <c r="F630" s="43"/>
      <c r="G630" s="43"/>
      <c r="H630" s="43"/>
      <c r="I630" s="43"/>
      <c r="J630" s="43"/>
      <c r="K630" s="43"/>
      <c r="L630" s="43"/>
      <c r="M630" s="43"/>
      <c r="N630" s="43"/>
      <c r="O630" s="43"/>
      <c r="Q630" s="43"/>
      <c r="U630" s="606"/>
    </row>
    <row r="631" spans="1:21">
      <c r="A631" s="43"/>
      <c r="C631" s="43"/>
      <c r="D631" s="43"/>
      <c r="E631" s="43"/>
      <c r="F631" s="43"/>
      <c r="G631" s="43"/>
      <c r="H631" s="43"/>
      <c r="I631" s="43"/>
      <c r="J631" s="43"/>
      <c r="K631" s="43"/>
      <c r="L631" s="43"/>
      <c r="M631" s="43"/>
      <c r="N631" s="43"/>
      <c r="O631" s="43"/>
      <c r="Q631" s="43"/>
      <c r="U631" s="606"/>
    </row>
    <row r="632" spans="1:21">
      <c r="A632" s="43"/>
      <c r="C632" s="43"/>
      <c r="D632" s="43"/>
      <c r="E632" s="43"/>
      <c r="F632" s="43"/>
      <c r="G632" s="43"/>
      <c r="H632" s="43"/>
      <c r="I632" s="43"/>
      <c r="J632" s="43"/>
      <c r="K632" s="43"/>
      <c r="L632" s="43"/>
      <c r="M632" s="43"/>
      <c r="N632" s="43"/>
      <c r="O632" s="43"/>
      <c r="Q632" s="43"/>
      <c r="U632" s="606"/>
    </row>
    <row r="633" spans="1:21">
      <c r="A633" s="43"/>
      <c r="C633" s="43"/>
      <c r="D633" s="43"/>
      <c r="E633" s="43"/>
      <c r="F633" s="43"/>
      <c r="G633" s="43"/>
      <c r="H633" s="43"/>
      <c r="I633" s="43"/>
      <c r="J633" s="43"/>
      <c r="K633" s="43"/>
      <c r="L633" s="43"/>
      <c r="M633" s="43"/>
      <c r="N633" s="43"/>
      <c r="O633" s="43"/>
      <c r="Q633" s="43"/>
      <c r="U633" s="606"/>
    </row>
    <row r="634" spans="1:21">
      <c r="A634" s="43"/>
      <c r="C634" s="43"/>
      <c r="D634" s="43"/>
      <c r="E634" s="43"/>
      <c r="F634" s="43"/>
      <c r="G634" s="43"/>
      <c r="H634" s="43"/>
      <c r="I634" s="43"/>
      <c r="J634" s="43"/>
      <c r="K634" s="43"/>
      <c r="L634" s="43"/>
      <c r="M634" s="43"/>
      <c r="N634" s="43"/>
      <c r="O634" s="43"/>
      <c r="Q634" s="43"/>
      <c r="U634" s="606"/>
    </row>
    <row r="635" spans="1:21">
      <c r="A635" s="43"/>
      <c r="C635" s="43"/>
      <c r="D635" s="43"/>
      <c r="E635" s="43"/>
      <c r="F635" s="43"/>
      <c r="G635" s="43"/>
      <c r="H635" s="43"/>
      <c r="I635" s="43"/>
      <c r="J635" s="43"/>
      <c r="K635" s="43"/>
      <c r="L635" s="43"/>
      <c r="M635" s="43"/>
      <c r="N635" s="43"/>
      <c r="O635" s="43"/>
      <c r="Q635" s="43"/>
      <c r="U635" s="606"/>
    </row>
    <row r="636" spans="1:21">
      <c r="A636" s="43"/>
      <c r="C636" s="43"/>
      <c r="D636" s="43"/>
      <c r="E636" s="43"/>
      <c r="F636" s="43"/>
      <c r="G636" s="43"/>
      <c r="H636" s="43"/>
      <c r="I636" s="43"/>
      <c r="J636" s="43"/>
      <c r="K636" s="43"/>
      <c r="L636" s="43"/>
      <c r="M636" s="43"/>
      <c r="N636" s="43"/>
      <c r="O636" s="43"/>
      <c r="Q636" s="43"/>
      <c r="U636" s="606"/>
    </row>
    <row r="637" spans="1:21">
      <c r="A637" s="43"/>
      <c r="C637" s="43"/>
      <c r="D637" s="43"/>
      <c r="E637" s="43"/>
      <c r="F637" s="43"/>
      <c r="G637" s="43"/>
      <c r="H637" s="43"/>
      <c r="I637" s="43"/>
      <c r="J637" s="43"/>
      <c r="K637" s="43"/>
      <c r="L637" s="43"/>
      <c r="M637" s="43"/>
      <c r="N637" s="43"/>
      <c r="O637" s="43"/>
      <c r="Q637" s="43"/>
      <c r="U637" s="606"/>
    </row>
    <row r="638" spans="1:21">
      <c r="A638" s="43"/>
      <c r="C638" s="43"/>
      <c r="D638" s="43"/>
      <c r="E638" s="43"/>
      <c r="F638" s="43"/>
      <c r="G638" s="43"/>
      <c r="H638" s="43"/>
      <c r="I638" s="43"/>
      <c r="J638" s="43"/>
      <c r="K638" s="43"/>
      <c r="L638" s="43"/>
      <c r="M638" s="43"/>
      <c r="N638" s="43"/>
      <c r="O638" s="43"/>
      <c r="Q638" s="43"/>
      <c r="U638" s="606"/>
    </row>
    <row r="639" spans="1:21">
      <c r="A639" s="43"/>
      <c r="C639" s="43"/>
      <c r="D639" s="43"/>
      <c r="E639" s="43"/>
      <c r="F639" s="43"/>
      <c r="G639" s="43"/>
      <c r="H639" s="43"/>
      <c r="I639" s="43"/>
      <c r="J639" s="43"/>
      <c r="K639" s="43"/>
      <c r="L639" s="43"/>
      <c r="M639" s="43"/>
      <c r="N639" s="43"/>
      <c r="O639" s="43"/>
      <c r="Q639" s="43"/>
      <c r="U639" s="606"/>
    </row>
    <row r="640" spans="1:21">
      <c r="A640" s="43"/>
      <c r="C640" s="43"/>
      <c r="D640" s="43"/>
      <c r="E640" s="43"/>
      <c r="F640" s="43"/>
      <c r="G640" s="43"/>
      <c r="H640" s="43"/>
      <c r="I640" s="43"/>
      <c r="J640" s="43"/>
      <c r="K640" s="43"/>
      <c r="L640" s="43"/>
      <c r="M640" s="43"/>
      <c r="N640" s="43"/>
      <c r="O640" s="43"/>
      <c r="Q640" s="43"/>
      <c r="U640" s="606"/>
    </row>
    <row r="641" spans="1:21">
      <c r="A641" s="43"/>
      <c r="C641" s="43"/>
      <c r="D641" s="43"/>
      <c r="E641" s="43"/>
      <c r="F641" s="43"/>
      <c r="G641" s="43"/>
      <c r="H641" s="43"/>
      <c r="I641" s="43"/>
      <c r="J641" s="43"/>
      <c r="K641" s="43"/>
      <c r="L641" s="43"/>
      <c r="M641" s="43"/>
      <c r="N641" s="43"/>
      <c r="O641" s="43"/>
      <c r="Q641" s="43"/>
      <c r="U641" s="606"/>
    </row>
    <row r="642" spans="1:21">
      <c r="A642" s="43"/>
      <c r="C642" s="43"/>
      <c r="D642" s="43"/>
      <c r="E642" s="43"/>
      <c r="F642" s="43"/>
      <c r="G642" s="43"/>
      <c r="H642" s="43"/>
      <c r="I642" s="43"/>
      <c r="J642" s="43"/>
      <c r="K642" s="43"/>
      <c r="L642" s="43"/>
      <c r="M642" s="43"/>
      <c r="N642" s="43"/>
      <c r="O642" s="43"/>
      <c r="Q642" s="43"/>
      <c r="U642" s="606"/>
    </row>
    <row r="643" spans="1:21">
      <c r="A643" s="43"/>
      <c r="C643" s="43"/>
      <c r="D643" s="43"/>
      <c r="E643" s="43"/>
      <c r="F643" s="43"/>
      <c r="G643" s="43"/>
      <c r="H643" s="43"/>
      <c r="I643" s="43"/>
      <c r="J643" s="43"/>
      <c r="K643" s="43"/>
      <c r="L643" s="43"/>
      <c r="M643" s="43"/>
      <c r="N643" s="43"/>
      <c r="O643" s="43"/>
      <c r="Q643" s="43"/>
      <c r="U643" s="606"/>
    </row>
    <row r="644" spans="1:21">
      <c r="A644" s="43"/>
      <c r="C644" s="43"/>
      <c r="D644" s="43"/>
      <c r="E644" s="43"/>
      <c r="F644" s="43"/>
      <c r="G644" s="43"/>
      <c r="H644" s="43"/>
      <c r="I644" s="43"/>
      <c r="J644" s="43"/>
      <c r="K644" s="43"/>
      <c r="L644" s="43"/>
      <c r="M644" s="43"/>
      <c r="N644" s="43"/>
      <c r="O644" s="43"/>
      <c r="Q644" s="43"/>
      <c r="U644" s="606"/>
    </row>
    <row r="645" spans="1:21">
      <c r="A645" s="43"/>
      <c r="C645" s="43"/>
      <c r="D645" s="43"/>
      <c r="E645" s="43"/>
      <c r="F645" s="43"/>
      <c r="G645" s="43"/>
      <c r="H645" s="43"/>
      <c r="I645" s="43"/>
      <c r="J645" s="43"/>
      <c r="K645" s="43"/>
      <c r="L645" s="43"/>
      <c r="M645" s="43"/>
      <c r="N645" s="43"/>
      <c r="O645" s="43"/>
      <c r="Q645" s="43"/>
      <c r="U645" s="606"/>
    </row>
    <row r="646" spans="1:21">
      <c r="A646" s="43"/>
      <c r="C646" s="43"/>
      <c r="D646" s="43"/>
      <c r="E646" s="43"/>
      <c r="F646" s="43"/>
      <c r="G646" s="43"/>
      <c r="H646" s="43"/>
      <c r="I646" s="43"/>
      <c r="J646" s="43"/>
      <c r="K646" s="43"/>
      <c r="L646" s="43"/>
      <c r="M646" s="43"/>
      <c r="N646" s="43"/>
      <c r="O646" s="43"/>
      <c r="Q646" s="43"/>
      <c r="U646" s="606"/>
    </row>
    <row r="647" spans="1:21">
      <c r="A647" s="43"/>
      <c r="C647" s="43"/>
      <c r="D647" s="43"/>
      <c r="E647" s="43"/>
      <c r="F647" s="43"/>
      <c r="G647" s="43"/>
      <c r="H647" s="43"/>
      <c r="I647" s="43"/>
      <c r="J647" s="43"/>
      <c r="K647" s="43"/>
      <c r="L647" s="43"/>
      <c r="M647" s="43"/>
      <c r="N647" s="43"/>
      <c r="O647" s="43"/>
      <c r="Q647" s="43"/>
      <c r="U647" s="606"/>
    </row>
    <row r="648" spans="1:21">
      <c r="A648" s="43"/>
      <c r="C648" s="43"/>
      <c r="D648" s="43"/>
      <c r="E648" s="43"/>
      <c r="F648" s="43"/>
      <c r="G648" s="43"/>
      <c r="H648" s="43"/>
      <c r="I648" s="43"/>
      <c r="J648" s="43"/>
      <c r="K648" s="43"/>
      <c r="L648" s="43"/>
      <c r="M648" s="43"/>
      <c r="N648" s="43"/>
      <c r="O648" s="43"/>
      <c r="Q648" s="43"/>
      <c r="U648" s="606"/>
    </row>
    <row r="649" spans="1:21">
      <c r="A649" s="43"/>
      <c r="C649" s="43"/>
      <c r="D649" s="43"/>
      <c r="E649" s="43"/>
      <c r="F649" s="43"/>
      <c r="G649" s="43"/>
      <c r="H649" s="43"/>
      <c r="I649" s="43"/>
      <c r="J649" s="43"/>
      <c r="K649" s="43"/>
      <c r="L649" s="43"/>
      <c r="M649" s="43"/>
      <c r="N649" s="43"/>
      <c r="O649" s="43"/>
      <c r="Q649" s="43"/>
      <c r="U649" s="606"/>
    </row>
    <row r="650" spans="1:21">
      <c r="A650" s="43"/>
      <c r="C650" s="43"/>
      <c r="D650" s="43"/>
      <c r="E650" s="43"/>
      <c r="F650" s="43"/>
      <c r="G650" s="43"/>
      <c r="H650" s="43"/>
      <c r="I650" s="43"/>
      <c r="J650" s="43"/>
      <c r="K650" s="43"/>
      <c r="L650" s="43"/>
      <c r="M650" s="43"/>
      <c r="N650" s="43"/>
      <c r="O650" s="43"/>
      <c r="Q650" s="43"/>
      <c r="U650" s="606"/>
    </row>
    <row r="651" spans="1:21">
      <c r="A651" s="43"/>
      <c r="C651" s="43"/>
      <c r="D651" s="43"/>
      <c r="E651" s="43"/>
      <c r="F651" s="43"/>
      <c r="G651" s="43"/>
      <c r="H651" s="43"/>
      <c r="I651" s="43"/>
      <c r="J651" s="43"/>
      <c r="K651" s="43"/>
      <c r="L651" s="43"/>
      <c r="M651" s="43"/>
      <c r="N651" s="43"/>
      <c r="O651" s="43"/>
      <c r="Q651" s="43"/>
      <c r="U651" s="606"/>
    </row>
    <row r="652" spans="1:21">
      <c r="A652" s="43"/>
      <c r="C652" s="43"/>
      <c r="D652" s="43"/>
      <c r="E652" s="43"/>
      <c r="F652" s="43"/>
      <c r="G652" s="43"/>
      <c r="H652" s="43"/>
      <c r="I652" s="43"/>
      <c r="J652" s="43"/>
      <c r="K652" s="43"/>
      <c r="L652" s="43"/>
      <c r="M652" s="43"/>
      <c r="N652" s="43"/>
      <c r="O652" s="43"/>
      <c r="Q652" s="43"/>
      <c r="U652" s="606"/>
    </row>
    <row r="653" spans="1:21">
      <c r="A653" s="43"/>
      <c r="C653" s="43"/>
      <c r="D653" s="43"/>
      <c r="E653" s="43"/>
      <c r="F653" s="43"/>
      <c r="G653" s="43"/>
      <c r="H653" s="43"/>
      <c r="I653" s="43"/>
      <c r="J653" s="43"/>
      <c r="K653" s="43"/>
      <c r="L653" s="43"/>
      <c r="M653" s="43"/>
      <c r="N653" s="43"/>
      <c r="O653" s="43"/>
      <c r="Q653" s="43"/>
      <c r="U653" s="606"/>
    </row>
    <row r="654" spans="1:21">
      <c r="A654" s="43"/>
      <c r="C654" s="43"/>
      <c r="D654" s="43"/>
      <c r="E654" s="43"/>
      <c r="F654" s="43"/>
      <c r="G654" s="43"/>
      <c r="H654" s="43"/>
      <c r="I654" s="43"/>
      <c r="J654" s="43"/>
      <c r="K654" s="43"/>
      <c r="L654" s="43"/>
      <c r="M654" s="43"/>
      <c r="N654" s="43"/>
      <c r="O654" s="43"/>
      <c r="Q654" s="43"/>
      <c r="U654" s="606"/>
    </row>
    <row r="655" spans="1:21">
      <c r="A655" s="43"/>
      <c r="C655" s="43"/>
      <c r="D655" s="43"/>
      <c r="E655" s="43"/>
      <c r="F655" s="43"/>
      <c r="G655" s="43"/>
      <c r="H655" s="43"/>
      <c r="I655" s="43"/>
      <c r="J655" s="43"/>
      <c r="K655" s="43"/>
      <c r="L655" s="43"/>
      <c r="M655" s="43"/>
      <c r="N655" s="43"/>
      <c r="O655" s="43"/>
      <c r="Q655" s="43"/>
      <c r="U655" s="606"/>
    </row>
    <row r="656" spans="1:21">
      <c r="A656" s="43"/>
      <c r="C656" s="43"/>
      <c r="D656" s="43"/>
      <c r="E656" s="43"/>
      <c r="F656" s="43"/>
      <c r="G656" s="43"/>
      <c r="H656" s="43"/>
      <c r="I656" s="43"/>
      <c r="J656" s="43"/>
      <c r="K656" s="43"/>
      <c r="L656" s="43"/>
      <c r="M656" s="43"/>
      <c r="N656" s="43"/>
      <c r="O656" s="43"/>
      <c r="Q656" s="43"/>
      <c r="U656" s="606"/>
    </row>
    <row r="657" spans="1:21">
      <c r="A657" s="43"/>
      <c r="C657" s="43"/>
      <c r="D657" s="43"/>
      <c r="E657" s="43"/>
      <c r="F657" s="43"/>
      <c r="G657" s="43"/>
      <c r="H657" s="43"/>
      <c r="I657" s="43"/>
      <c r="J657" s="43"/>
      <c r="K657" s="43"/>
      <c r="L657" s="43"/>
      <c r="M657" s="43"/>
      <c r="N657" s="43"/>
      <c r="O657" s="43"/>
      <c r="Q657" s="43"/>
      <c r="U657" s="606"/>
    </row>
    <row r="658" spans="1:21">
      <c r="A658" s="43"/>
      <c r="C658" s="43"/>
      <c r="D658" s="43"/>
      <c r="E658" s="43"/>
      <c r="F658" s="43"/>
      <c r="G658" s="43"/>
      <c r="H658" s="43"/>
      <c r="I658" s="43"/>
      <c r="J658" s="43"/>
      <c r="K658" s="43"/>
      <c r="L658" s="43"/>
      <c r="M658" s="43"/>
      <c r="N658" s="43"/>
      <c r="O658" s="43"/>
      <c r="Q658" s="43"/>
      <c r="U658" s="606"/>
    </row>
    <row r="659" spans="1:21">
      <c r="A659" s="43"/>
      <c r="C659" s="43"/>
      <c r="D659" s="43"/>
      <c r="E659" s="43"/>
      <c r="F659" s="43"/>
      <c r="G659" s="43"/>
      <c r="H659" s="43"/>
      <c r="I659" s="43"/>
      <c r="J659" s="43"/>
      <c r="K659" s="43"/>
      <c r="L659" s="43"/>
      <c r="M659" s="43"/>
      <c r="N659" s="43"/>
      <c r="O659" s="43"/>
      <c r="Q659" s="43"/>
      <c r="U659" s="606"/>
    </row>
    <row r="660" spans="1:21">
      <c r="A660" s="43"/>
      <c r="C660" s="43"/>
      <c r="D660" s="43"/>
      <c r="E660" s="43"/>
      <c r="F660" s="43"/>
      <c r="G660" s="43"/>
      <c r="H660" s="43"/>
      <c r="I660" s="43"/>
      <c r="J660" s="43"/>
      <c r="K660" s="43"/>
      <c r="L660" s="43"/>
      <c r="M660" s="43"/>
      <c r="N660" s="43"/>
      <c r="O660" s="43"/>
      <c r="Q660" s="43"/>
      <c r="U660" s="606"/>
    </row>
    <row r="661" spans="1:21">
      <c r="A661" s="43"/>
      <c r="C661" s="43"/>
      <c r="D661" s="43"/>
      <c r="E661" s="43"/>
      <c r="F661" s="43"/>
      <c r="G661" s="43"/>
      <c r="H661" s="43"/>
      <c r="I661" s="43"/>
      <c r="J661" s="43"/>
      <c r="K661" s="43"/>
      <c r="L661" s="43"/>
      <c r="M661" s="43"/>
      <c r="N661" s="43"/>
      <c r="O661" s="43"/>
      <c r="Q661" s="43"/>
      <c r="U661" s="606"/>
    </row>
    <row r="662" spans="1:21">
      <c r="A662" s="43"/>
      <c r="C662" s="43"/>
      <c r="D662" s="43"/>
      <c r="E662" s="43"/>
      <c r="F662" s="43"/>
      <c r="G662" s="43"/>
      <c r="H662" s="43"/>
      <c r="I662" s="43"/>
      <c r="J662" s="43"/>
      <c r="K662" s="43"/>
      <c r="L662" s="43"/>
      <c r="M662" s="43"/>
      <c r="N662" s="43"/>
      <c r="O662" s="43"/>
      <c r="Q662" s="43"/>
      <c r="U662" s="606"/>
    </row>
    <row r="663" spans="1:21">
      <c r="A663" s="43"/>
      <c r="C663" s="43"/>
      <c r="D663" s="43"/>
      <c r="E663" s="43"/>
      <c r="F663" s="43"/>
      <c r="G663" s="43"/>
      <c r="H663" s="43"/>
      <c r="I663" s="43"/>
      <c r="J663" s="43"/>
      <c r="K663" s="43"/>
      <c r="L663" s="43"/>
      <c r="M663" s="43"/>
      <c r="N663" s="43"/>
      <c r="O663" s="43"/>
      <c r="Q663" s="43"/>
      <c r="U663" s="606"/>
    </row>
    <row r="664" spans="1:21">
      <c r="A664" s="43"/>
      <c r="C664" s="43"/>
      <c r="D664" s="43"/>
      <c r="E664" s="43"/>
      <c r="F664" s="43"/>
      <c r="G664" s="43"/>
      <c r="H664" s="43"/>
      <c r="I664" s="43"/>
      <c r="J664" s="43"/>
      <c r="K664" s="43"/>
      <c r="L664" s="43"/>
      <c r="M664" s="43"/>
      <c r="N664" s="43"/>
      <c r="O664" s="43"/>
      <c r="Q664" s="43"/>
      <c r="U664" s="606"/>
    </row>
    <row r="665" spans="1:21">
      <c r="A665" s="43"/>
      <c r="C665" s="43"/>
      <c r="D665" s="43"/>
      <c r="E665" s="43"/>
      <c r="F665" s="43"/>
      <c r="G665" s="43"/>
      <c r="H665" s="43"/>
      <c r="I665" s="43"/>
      <c r="J665" s="43"/>
      <c r="K665" s="43"/>
      <c r="L665" s="43"/>
      <c r="M665" s="43"/>
      <c r="N665" s="43"/>
      <c r="O665" s="43"/>
      <c r="Q665" s="43"/>
      <c r="U665" s="606"/>
    </row>
    <row r="666" spans="1:21">
      <c r="A666" s="43"/>
      <c r="C666" s="43"/>
      <c r="D666" s="43"/>
      <c r="E666" s="43"/>
      <c r="F666" s="43"/>
      <c r="G666" s="43"/>
      <c r="H666" s="43"/>
      <c r="I666" s="43"/>
      <c r="J666" s="43"/>
      <c r="K666" s="43"/>
      <c r="L666" s="43"/>
      <c r="M666" s="43"/>
      <c r="N666" s="43"/>
      <c r="O666" s="43"/>
      <c r="Q666" s="43"/>
      <c r="U666" s="606"/>
    </row>
    <row r="667" spans="1:21">
      <c r="A667" s="43"/>
      <c r="C667" s="43"/>
      <c r="D667" s="43"/>
      <c r="E667" s="43"/>
      <c r="F667" s="43"/>
      <c r="G667" s="43"/>
      <c r="H667" s="43"/>
      <c r="I667" s="43"/>
      <c r="J667" s="43"/>
      <c r="K667" s="43"/>
      <c r="L667" s="43"/>
      <c r="M667" s="43"/>
      <c r="N667" s="43"/>
      <c r="O667" s="43"/>
      <c r="Q667" s="43"/>
      <c r="U667" s="606"/>
    </row>
    <row r="668" spans="1:21">
      <c r="A668" s="43"/>
      <c r="C668" s="43"/>
      <c r="D668" s="43"/>
      <c r="E668" s="43"/>
      <c r="F668" s="43"/>
      <c r="G668" s="43"/>
      <c r="H668" s="43"/>
      <c r="I668" s="43"/>
      <c r="J668" s="43"/>
      <c r="K668" s="43"/>
      <c r="L668" s="43"/>
      <c r="M668" s="43"/>
      <c r="N668" s="43"/>
      <c r="O668" s="43"/>
      <c r="Q668" s="43"/>
      <c r="U668" s="606"/>
    </row>
    <row r="669" spans="1:21">
      <c r="A669" s="43"/>
      <c r="C669" s="43"/>
      <c r="D669" s="43"/>
      <c r="E669" s="43"/>
      <c r="F669" s="43"/>
      <c r="G669" s="43"/>
      <c r="H669" s="43"/>
      <c r="I669" s="43"/>
      <c r="J669" s="43"/>
      <c r="K669" s="43"/>
      <c r="L669" s="43"/>
      <c r="M669" s="43"/>
      <c r="N669" s="43"/>
      <c r="O669" s="43"/>
      <c r="Q669" s="43"/>
      <c r="U669" s="606"/>
    </row>
    <row r="670" spans="1:21">
      <c r="A670" s="43"/>
      <c r="C670" s="43"/>
      <c r="D670" s="43"/>
      <c r="E670" s="43"/>
      <c r="F670" s="43"/>
      <c r="G670" s="43"/>
      <c r="H670" s="43"/>
      <c r="I670" s="43"/>
      <c r="J670" s="43"/>
      <c r="K670" s="43"/>
      <c r="L670" s="43"/>
      <c r="M670" s="43"/>
      <c r="N670" s="43"/>
      <c r="O670" s="43"/>
      <c r="Q670" s="43"/>
      <c r="U670" s="606"/>
    </row>
    <row r="671" spans="1:21">
      <c r="A671" s="43"/>
      <c r="C671" s="43"/>
      <c r="D671" s="43"/>
      <c r="E671" s="43"/>
      <c r="F671" s="43"/>
      <c r="G671" s="43"/>
      <c r="H671" s="43"/>
      <c r="I671" s="43"/>
      <c r="J671" s="43"/>
      <c r="K671" s="43"/>
      <c r="L671" s="43"/>
      <c r="M671" s="43"/>
      <c r="N671" s="43"/>
      <c r="O671" s="43"/>
      <c r="Q671" s="43"/>
      <c r="U671" s="606"/>
    </row>
    <row r="672" spans="1:21">
      <c r="A672" s="43"/>
      <c r="C672" s="43"/>
      <c r="D672" s="43"/>
      <c r="E672" s="43"/>
      <c r="F672" s="43"/>
      <c r="G672" s="43"/>
      <c r="H672" s="43"/>
      <c r="I672" s="43"/>
      <c r="J672" s="43"/>
      <c r="K672" s="43"/>
      <c r="L672" s="43"/>
      <c r="M672" s="43"/>
      <c r="N672" s="43"/>
      <c r="O672" s="43"/>
      <c r="Q672" s="43"/>
      <c r="U672" s="606"/>
    </row>
    <row r="673" spans="1:21">
      <c r="A673" s="43"/>
      <c r="C673" s="43"/>
      <c r="D673" s="43"/>
      <c r="E673" s="43"/>
      <c r="F673" s="43"/>
      <c r="G673" s="43"/>
      <c r="H673" s="43"/>
      <c r="I673" s="43"/>
      <c r="J673" s="43"/>
      <c r="K673" s="43"/>
      <c r="L673" s="43"/>
      <c r="M673" s="43"/>
      <c r="N673" s="43"/>
      <c r="O673" s="43"/>
      <c r="Q673" s="43"/>
      <c r="U673" s="606"/>
    </row>
    <row r="674" spans="1:21">
      <c r="A674" s="43"/>
      <c r="C674" s="43"/>
      <c r="D674" s="43"/>
      <c r="E674" s="43"/>
      <c r="F674" s="43"/>
      <c r="G674" s="43"/>
      <c r="H674" s="43"/>
      <c r="I674" s="43"/>
      <c r="J674" s="43"/>
      <c r="K674" s="43"/>
      <c r="L674" s="43"/>
      <c r="M674" s="43"/>
      <c r="N674" s="43"/>
      <c r="O674" s="43"/>
      <c r="Q674" s="43"/>
      <c r="U674" s="606"/>
    </row>
    <row r="675" spans="1:21">
      <c r="A675" s="43"/>
      <c r="C675" s="43"/>
      <c r="D675" s="43"/>
      <c r="E675" s="43"/>
      <c r="F675" s="43"/>
      <c r="G675" s="43"/>
      <c r="H675" s="43"/>
      <c r="I675" s="43"/>
      <c r="J675" s="43"/>
      <c r="K675" s="43"/>
      <c r="L675" s="43"/>
      <c r="M675" s="43"/>
      <c r="N675" s="43"/>
      <c r="O675" s="43"/>
      <c r="Q675" s="43"/>
      <c r="U675" s="606"/>
    </row>
    <row r="676" spans="1:21">
      <c r="A676" s="43"/>
      <c r="C676" s="43"/>
      <c r="D676" s="43"/>
      <c r="E676" s="43"/>
      <c r="F676" s="43"/>
      <c r="G676" s="43"/>
      <c r="H676" s="43"/>
      <c r="I676" s="43"/>
      <c r="J676" s="43"/>
      <c r="K676" s="43"/>
      <c r="L676" s="43"/>
      <c r="M676" s="43"/>
      <c r="N676" s="43"/>
      <c r="O676" s="43"/>
      <c r="Q676" s="43"/>
      <c r="U676" s="606"/>
    </row>
    <row r="677" spans="1:21">
      <c r="A677" s="43"/>
      <c r="C677" s="43"/>
      <c r="D677" s="43"/>
      <c r="E677" s="43"/>
      <c r="F677" s="43"/>
      <c r="G677" s="43"/>
      <c r="H677" s="43"/>
      <c r="I677" s="43"/>
      <c r="J677" s="43"/>
      <c r="K677" s="43"/>
      <c r="L677" s="43"/>
      <c r="M677" s="43"/>
      <c r="N677" s="43"/>
      <c r="O677" s="43"/>
      <c r="Q677" s="43"/>
      <c r="U677" s="606"/>
    </row>
    <row r="678" spans="1:21">
      <c r="A678" s="43"/>
      <c r="C678" s="43"/>
      <c r="D678" s="43"/>
      <c r="E678" s="43"/>
      <c r="F678" s="43"/>
      <c r="G678" s="43"/>
      <c r="H678" s="43"/>
      <c r="I678" s="43"/>
      <c r="J678" s="43"/>
      <c r="K678" s="43"/>
      <c r="L678" s="43"/>
      <c r="M678" s="43"/>
      <c r="N678" s="43"/>
      <c r="O678" s="43"/>
      <c r="Q678" s="43"/>
      <c r="U678" s="606"/>
    </row>
    <row r="679" spans="1:21">
      <c r="A679" s="43"/>
      <c r="C679" s="43"/>
      <c r="D679" s="43"/>
      <c r="E679" s="43"/>
      <c r="F679" s="43"/>
      <c r="G679" s="43"/>
      <c r="H679" s="43"/>
      <c r="I679" s="43"/>
      <c r="J679" s="43"/>
      <c r="K679" s="43"/>
      <c r="L679" s="43"/>
      <c r="M679" s="43"/>
      <c r="N679" s="43"/>
      <c r="O679" s="43"/>
      <c r="Q679" s="43"/>
      <c r="U679" s="606"/>
    </row>
    <row r="680" spans="1:21">
      <c r="A680" s="43"/>
      <c r="C680" s="43"/>
      <c r="D680" s="43"/>
      <c r="E680" s="43"/>
      <c r="F680" s="43"/>
      <c r="G680" s="43"/>
      <c r="H680" s="43"/>
      <c r="I680" s="43"/>
      <c r="J680" s="43"/>
      <c r="K680" s="43"/>
      <c r="L680" s="43"/>
      <c r="M680" s="43"/>
      <c r="N680" s="43"/>
      <c r="O680" s="43"/>
      <c r="Q680" s="43"/>
      <c r="U680" s="606"/>
    </row>
    <row r="681" spans="1:21">
      <c r="A681" s="43"/>
      <c r="C681" s="43"/>
      <c r="D681" s="43"/>
      <c r="E681" s="43"/>
      <c r="F681" s="43"/>
      <c r="G681" s="43"/>
      <c r="H681" s="43"/>
      <c r="I681" s="43"/>
      <c r="J681" s="43"/>
      <c r="K681" s="43"/>
      <c r="L681" s="43"/>
      <c r="M681" s="43"/>
      <c r="N681" s="43"/>
      <c r="O681" s="43"/>
      <c r="Q681" s="43"/>
      <c r="U681" s="606"/>
    </row>
    <row r="682" spans="1:21">
      <c r="A682" s="43"/>
      <c r="C682" s="43"/>
      <c r="D682" s="43"/>
      <c r="E682" s="43"/>
      <c r="F682" s="43"/>
      <c r="G682" s="43"/>
      <c r="H682" s="43"/>
      <c r="I682" s="43"/>
      <c r="J682" s="43"/>
      <c r="K682" s="43"/>
      <c r="L682" s="43"/>
      <c r="M682" s="43"/>
      <c r="N682" s="43"/>
      <c r="O682" s="43"/>
      <c r="Q682" s="43"/>
      <c r="U682" s="606"/>
    </row>
    <row r="683" spans="1:21">
      <c r="A683" s="43"/>
      <c r="C683" s="43"/>
      <c r="D683" s="43"/>
      <c r="E683" s="43"/>
      <c r="F683" s="43"/>
      <c r="G683" s="43"/>
      <c r="H683" s="43"/>
      <c r="I683" s="43"/>
      <c r="J683" s="43"/>
      <c r="K683" s="43"/>
      <c r="L683" s="43"/>
      <c r="M683" s="43"/>
      <c r="N683" s="43"/>
      <c r="O683" s="43"/>
      <c r="Q683" s="43"/>
      <c r="U683" s="606"/>
    </row>
    <row r="684" spans="1:21">
      <c r="A684" s="43"/>
      <c r="C684" s="43"/>
      <c r="D684" s="43"/>
      <c r="E684" s="43"/>
      <c r="F684" s="43"/>
      <c r="G684" s="43"/>
      <c r="H684" s="43"/>
      <c r="I684" s="43"/>
      <c r="J684" s="43"/>
      <c r="K684" s="43"/>
      <c r="L684" s="43"/>
      <c r="M684" s="43"/>
      <c r="N684" s="43"/>
      <c r="O684" s="43"/>
      <c r="Q684" s="43"/>
      <c r="U684" s="606"/>
    </row>
    <row r="685" spans="1:21">
      <c r="A685" s="43"/>
      <c r="C685" s="43"/>
      <c r="D685" s="43"/>
      <c r="E685" s="43"/>
      <c r="F685" s="43"/>
      <c r="G685" s="43"/>
      <c r="H685" s="43"/>
      <c r="I685" s="43"/>
      <c r="J685" s="43"/>
      <c r="K685" s="43"/>
      <c r="L685" s="43"/>
      <c r="M685" s="43"/>
      <c r="N685" s="43"/>
      <c r="O685" s="43"/>
      <c r="Q685" s="43"/>
      <c r="U685" s="606"/>
    </row>
    <row r="686" spans="1:21">
      <c r="A686" s="43"/>
      <c r="C686" s="43"/>
      <c r="D686" s="43"/>
      <c r="E686" s="43"/>
      <c r="F686" s="43"/>
      <c r="G686" s="43"/>
      <c r="H686" s="43"/>
      <c r="I686" s="43"/>
      <c r="J686" s="43"/>
      <c r="K686" s="43"/>
      <c r="L686" s="43"/>
      <c r="M686" s="43"/>
      <c r="N686" s="43"/>
      <c r="O686" s="43"/>
      <c r="Q686" s="43"/>
      <c r="U686" s="606"/>
    </row>
    <row r="687" spans="1:21">
      <c r="A687" s="43"/>
      <c r="C687" s="43"/>
      <c r="D687" s="43"/>
      <c r="E687" s="43"/>
      <c r="F687" s="43"/>
      <c r="G687" s="43"/>
      <c r="H687" s="43"/>
      <c r="I687" s="43"/>
      <c r="J687" s="43"/>
      <c r="K687" s="43"/>
      <c r="L687" s="43"/>
      <c r="M687" s="43"/>
      <c r="N687" s="43"/>
      <c r="O687" s="43"/>
      <c r="Q687" s="43"/>
      <c r="U687" s="606"/>
    </row>
    <row r="688" spans="1:21">
      <c r="A688" s="43"/>
      <c r="C688" s="43"/>
      <c r="D688" s="43"/>
      <c r="E688" s="43"/>
      <c r="F688" s="43"/>
      <c r="G688" s="43"/>
      <c r="H688" s="43"/>
      <c r="I688" s="43"/>
      <c r="J688" s="43"/>
      <c r="K688" s="43"/>
      <c r="L688" s="43"/>
      <c r="M688" s="43"/>
      <c r="N688" s="43"/>
      <c r="O688" s="43"/>
      <c r="Q688" s="43"/>
      <c r="U688" s="606"/>
    </row>
    <row r="689" spans="1:21">
      <c r="A689" s="43"/>
      <c r="C689" s="43"/>
      <c r="D689" s="43"/>
      <c r="E689" s="43"/>
      <c r="F689" s="43"/>
      <c r="G689" s="43"/>
      <c r="H689" s="43"/>
      <c r="I689" s="43"/>
      <c r="J689" s="43"/>
      <c r="K689" s="43"/>
      <c r="L689" s="43"/>
      <c r="M689" s="43"/>
      <c r="N689" s="43"/>
      <c r="O689" s="43"/>
      <c r="Q689" s="43"/>
      <c r="U689" s="606"/>
    </row>
    <row r="690" spans="1:21">
      <c r="A690" s="43"/>
      <c r="C690" s="43"/>
      <c r="D690" s="43"/>
      <c r="E690" s="43"/>
      <c r="F690" s="43"/>
      <c r="G690" s="43"/>
      <c r="H690" s="43"/>
      <c r="I690" s="43"/>
      <c r="J690" s="43"/>
      <c r="K690" s="43"/>
      <c r="L690" s="43"/>
      <c r="M690" s="43"/>
      <c r="N690" s="43"/>
      <c r="O690" s="43"/>
      <c r="Q690" s="43"/>
      <c r="U690" s="606"/>
    </row>
    <row r="691" spans="1:21">
      <c r="A691" s="43"/>
      <c r="C691" s="43"/>
      <c r="D691" s="43"/>
      <c r="E691" s="43"/>
      <c r="F691" s="43"/>
      <c r="G691" s="43"/>
      <c r="H691" s="43"/>
      <c r="I691" s="43"/>
      <c r="J691" s="43"/>
      <c r="K691" s="43"/>
      <c r="L691" s="43"/>
      <c r="M691" s="43"/>
      <c r="N691" s="43"/>
      <c r="O691" s="43"/>
      <c r="Q691" s="43"/>
      <c r="U691" s="606"/>
    </row>
    <row r="692" spans="1:21">
      <c r="A692" s="43"/>
      <c r="C692" s="43"/>
      <c r="D692" s="43"/>
      <c r="E692" s="43"/>
      <c r="F692" s="43"/>
      <c r="G692" s="43"/>
      <c r="H692" s="43"/>
      <c r="I692" s="43"/>
      <c r="J692" s="43"/>
      <c r="K692" s="43"/>
      <c r="L692" s="43"/>
      <c r="M692" s="43"/>
      <c r="N692" s="43"/>
      <c r="O692" s="43"/>
      <c r="Q692" s="43"/>
      <c r="U692" s="606"/>
    </row>
    <row r="693" spans="1:21">
      <c r="A693" s="43"/>
      <c r="C693" s="43"/>
      <c r="D693" s="43"/>
      <c r="E693" s="43"/>
      <c r="F693" s="43"/>
      <c r="G693" s="43"/>
      <c r="H693" s="43"/>
      <c r="I693" s="43"/>
      <c r="J693" s="43"/>
      <c r="K693" s="43"/>
      <c r="L693" s="43"/>
      <c r="M693" s="43"/>
      <c r="N693" s="43"/>
      <c r="O693" s="43"/>
      <c r="Q693" s="43"/>
      <c r="U693" s="606"/>
    </row>
    <row r="694" spans="1:21">
      <c r="A694" s="43"/>
      <c r="C694" s="43"/>
      <c r="D694" s="43"/>
      <c r="E694" s="43"/>
      <c r="F694" s="43"/>
      <c r="G694" s="43"/>
      <c r="H694" s="43"/>
      <c r="I694" s="43"/>
      <c r="J694" s="43"/>
      <c r="K694" s="43"/>
      <c r="L694" s="43"/>
      <c r="M694" s="43"/>
      <c r="N694" s="43"/>
      <c r="O694" s="43"/>
      <c r="Q694" s="43"/>
      <c r="U694" s="606"/>
    </row>
    <row r="695" spans="1:21">
      <c r="A695" s="43"/>
      <c r="C695" s="43"/>
      <c r="D695" s="43"/>
      <c r="E695" s="43"/>
      <c r="F695" s="43"/>
      <c r="G695" s="43"/>
      <c r="H695" s="43"/>
      <c r="I695" s="43"/>
      <c r="J695" s="43"/>
      <c r="K695" s="43"/>
      <c r="L695" s="43"/>
      <c r="M695" s="43"/>
      <c r="N695" s="43"/>
      <c r="O695" s="43"/>
      <c r="Q695" s="43"/>
      <c r="U695" s="606"/>
    </row>
    <row r="696" spans="1:21">
      <c r="A696" s="43"/>
      <c r="C696" s="43"/>
      <c r="D696" s="43"/>
      <c r="E696" s="43"/>
      <c r="F696" s="43"/>
      <c r="G696" s="43"/>
      <c r="H696" s="43"/>
      <c r="I696" s="43"/>
      <c r="J696" s="43"/>
      <c r="K696" s="43"/>
      <c r="L696" s="43"/>
      <c r="M696" s="43"/>
      <c r="N696" s="43"/>
      <c r="O696" s="43"/>
      <c r="Q696" s="43"/>
      <c r="U696" s="606"/>
    </row>
    <row r="697" spans="1:21">
      <c r="A697" s="43"/>
      <c r="C697" s="43"/>
      <c r="D697" s="43"/>
      <c r="E697" s="43"/>
      <c r="F697" s="43"/>
      <c r="G697" s="43"/>
      <c r="H697" s="43"/>
      <c r="I697" s="43"/>
      <c r="J697" s="43"/>
      <c r="K697" s="43"/>
      <c r="L697" s="43"/>
      <c r="M697" s="43"/>
      <c r="N697" s="43"/>
      <c r="O697" s="43"/>
      <c r="Q697" s="43"/>
      <c r="U697" s="606"/>
    </row>
    <row r="698" spans="1:21">
      <c r="A698" s="43"/>
      <c r="C698" s="43"/>
      <c r="D698" s="43"/>
      <c r="E698" s="43"/>
      <c r="F698" s="43"/>
      <c r="G698" s="43"/>
      <c r="H698" s="43"/>
      <c r="I698" s="43"/>
      <c r="J698" s="43"/>
      <c r="K698" s="43"/>
      <c r="L698" s="43"/>
      <c r="M698" s="43"/>
      <c r="N698" s="43"/>
      <c r="O698" s="43"/>
      <c r="Q698" s="43"/>
      <c r="U698" s="606"/>
    </row>
    <row r="699" spans="1:21">
      <c r="A699" s="43"/>
      <c r="C699" s="43"/>
      <c r="D699" s="43"/>
      <c r="E699" s="43"/>
      <c r="F699" s="43"/>
      <c r="G699" s="43"/>
      <c r="H699" s="43"/>
      <c r="I699" s="43"/>
      <c r="J699" s="43"/>
      <c r="K699" s="43"/>
      <c r="L699" s="43"/>
      <c r="M699" s="43"/>
      <c r="N699" s="43"/>
      <c r="O699" s="43"/>
      <c r="Q699" s="43"/>
      <c r="U699" s="606"/>
    </row>
    <row r="700" spans="1:21">
      <c r="A700" s="43"/>
      <c r="C700" s="43"/>
      <c r="D700" s="43"/>
      <c r="E700" s="43"/>
      <c r="F700" s="43"/>
      <c r="G700" s="43"/>
      <c r="H700" s="43"/>
      <c r="I700" s="43"/>
      <c r="J700" s="43"/>
      <c r="K700" s="43"/>
      <c r="L700" s="43"/>
      <c r="M700" s="43"/>
      <c r="N700" s="43"/>
      <c r="O700" s="43"/>
      <c r="Q700" s="43"/>
      <c r="U700" s="606"/>
    </row>
    <row r="701" spans="1:21">
      <c r="A701" s="43"/>
      <c r="C701" s="43"/>
      <c r="D701" s="43"/>
      <c r="E701" s="43"/>
      <c r="F701" s="43"/>
      <c r="G701" s="43"/>
      <c r="H701" s="43"/>
      <c r="I701" s="43"/>
      <c r="J701" s="43"/>
      <c r="K701" s="43"/>
      <c r="L701" s="43"/>
      <c r="M701" s="43"/>
      <c r="N701" s="43"/>
      <c r="O701" s="43"/>
      <c r="Q701" s="43"/>
      <c r="U701" s="606"/>
    </row>
    <row r="702" spans="1:21">
      <c r="A702" s="43"/>
      <c r="C702" s="43"/>
      <c r="D702" s="43"/>
      <c r="E702" s="43"/>
      <c r="F702" s="43"/>
      <c r="G702" s="43"/>
      <c r="H702" s="43"/>
      <c r="I702" s="43"/>
      <c r="J702" s="43"/>
      <c r="K702" s="43"/>
      <c r="L702" s="43"/>
      <c r="M702" s="43"/>
      <c r="N702" s="43"/>
      <c r="O702" s="43"/>
      <c r="Q702" s="43"/>
      <c r="U702" s="606"/>
    </row>
    <row r="703" spans="1:21">
      <c r="A703" s="43"/>
      <c r="C703" s="43"/>
      <c r="D703" s="43"/>
      <c r="E703" s="43"/>
      <c r="F703" s="43"/>
      <c r="G703" s="43"/>
      <c r="H703" s="43"/>
      <c r="I703" s="43"/>
      <c r="J703" s="43"/>
      <c r="K703" s="43"/>
      <c r="L703" s="43"/>
      <c r="M703" s="43"/>
      <c r="N703" s="43"/>
      <c r="O703" s="43"/>
      <c r="Q703" s="43"/>
      <c r="U703" s="606"/>
    </row>
    <row r="704" spans="1:21">
      <c r="A704" s="43"/>
      <c r="C704" s="43"/>
      <c r="D704" s="43"/>
      <c r="E704" s="43"/>
      <c r="F704" s="43"/>
      <c r="G704" s="43"/>
      <c r="H704" s="43"/>
      <c r="I704" s="43"/>
      <c r="J704" s="43"/>
      <c r="K704" s="43"/>
      <c r="L704" s="43"/>
      <c r="M704" s="43"/>
      <c r="N704" s="43"/>
      <c r="O704" s="43"/>
      <c r="Q704" s="43"/>
      <c r="U704" s="606"/>
    </row>
    <row r="705" spans="1:21">
      <c r="A705" s="43"/>
      <c r="C705" s="43"/>
      <c r="D705" s="43"/>
      <c r="E705" s="43"/>
      <c r="F705" s="43"/>
      <c r="G705" s="43"/>
      <c r="H705" s="43"/>
      <c r="I705" s="43"/>
      <c r="J705" s="43"/>
      <c r="K705" s="43"/>
      <c r="L705" s="43"/>
      <c r="M705" s="43"/>
      <c r="N705" s="43"/>
      <c r="O705" s="43"/>
      <c r="Q705" s="43"/>
      <c r="U705" s="606"/>
    </row>
    <row r="706" spans="1:21">
      <c r="A706" s="43"/>
      <c r="C706" s="43"/>
      <c r="D706" s="43"/>
      <c r="E706" s="43"/>
      <c r="F706" s="43"/>
      <c r="G706" s="43"/>
      <c r="H706" s="43"/>
      <c r="I706" s="43"/>
      <c r="J706" s="43"/>
      <c r="K706" s="43"/>
      <c r="L706" s="43"/>
      <c r="M706" s="43"/>
      <c r="N706" s="43"/>
      <c r="O706" s="43"/>
      <c r="Q706" s="43"/>
      <c r="U706" s="606"/>
    </row>
    <row r="707" spans="1:21">
      <c r="A707" s="43"/>
      <c r="C707" s="43"/>
      <c r="D707" s="43"/>
      <c r="E707" s="43"/>
      <c r="F707" s="43"/>
      <c r="G707" s="43"/>
      <c r="H707" s="43"/>
      <c r="I707" s="43"/>
      <c r="J707" s="43"/>
      <c r="K707" s="43"/>
      <c r="L707" s="43"/>
      <c r="M707" s="43"/>
      <c r="N707" s="43"/>
      <c r="O707" s="43"/>
      <c r="Q707" s="43"/>
      <c r="U707" s="606"/>
    </row>
    <row r="708" spans="1:21">
      <c r="A708" s="43"/>
      <c r="C708" s="43"/>
      <c r="D708" s="43"/>
      <c r="E708" s="43"/>
      <c r="F708" s="43"/>
      <c r="G708" s="43"/>
      <c r="H708" s="43"/>
      <c r="I708" s="43"/>
      <c r="J708" s="43"/>
      <c r="K708" s="43"/>
      <c r="L708" s="43"/>
      <c r="M708" s="43"/>
      <c r="N708" s="43"/>
      <c r="O708" s="43"/>
      <c r="Q708" s="43"/>
      <c r="U708" s="606"/>
    </row>
    <row r="709" spans="1:21">
      <c r="A709" s="43"/>
      <c r="C709" s="43"/>
      <c r="D709" s="43"/>
      <c r="E709" s="43"/>
      <c r="F709" s="43"/>
      <c r="G709" s="43"/>
      <c r="H709" s="43"/>
      <c r="I709" s="43"/>
      <c r="J709" s="43"/>
      <c r="K709" s="43"/>
      <c r="L709" s="43"/>
      <c r="M709" s="43"/>
      <c r="N709" s="43"/>
      <c r="O709" s="43"/>
      <c r="Q709" s="43"/>
      <c r="U709" s="606"/>
    </row>
    <row r="710" spans="1:21">
      <c r="A710" s="43"/>
      <c r="C710" s="43"/>
      <c r="D710" s="43"/>
      <c r="E710" s="43"/>
      <c r="F710" s="43"/>
      <c r="G710" s="43"/>
      <c r="H710" s="43"/>
      <c r="I710" s="43"/>
      <c r="J710" s="43"/>
      <c r="K710" s="43"/>
      <c r="L710" s="43"/>
      <c r="M710" s="43"/>
      <c r="N710" s="43"/>
      <c r="O710" s="43"/>
      <c r="Q710" s="43"/>
      <c r="U710" s="606"/>
    </row>
    <row r="711" spans="1:21">
      <c r="A711" s="43"/>
      <c r="C711" s="43"/>
      <c r="D711" s="43"/>
      <c r="E711" s="43"/>
      <c r="F711" s="43"/>
      <c r="G711" s="43"/>
      <c r="H711" s="43"/>
      <c r="I711" s="43"/>
      <c r="J711" s="43"/>
      <c r="K711" s="43"/>
      <c r="L711" s="43"/>
      <c r="M711" s="43"/>
      <c r="N711" s="43"/>
      <c r="O711" s="43"/>
      <c r="Q711" s="43"/>
      <c r="U711" s="606"/>
    </row>
    <row r="712" spans="1:21">
      <c r="A712" s="43"/>
      <c r="C712" s="43"/>
      <c r="D712" s="43"/>
      <c r="E712" s="43"/>
      <c r="F712" s="43"/>
      <c r="G712" s="43"/>
      <c r="H712" s="43"/>
      <c r="I712" s="43"/>
      <c r="J712" s="43"/>
      <c r="K712" s="43"/>
      <c r="L712" s="43"/>
      <c r="M712" s="43"/>
      <c r="N712" s="43"/>
      <c r="O712" s="43"/>
      <c r="Q712" s="43"/>
      <c r="U712" s="606"/>
    </row>
    <row r="713" spans="1:21">
      <c r="A713" s="43"/>
      <c r="C713" s="43"/>
      <c r="D713" s="43"/>
      <c r="E713" s="43"/>
      <c r="F713" s="43"/>
      <c r="G713" s="43"/>
      <c r="H713" s="43"/>
      <c r="I713" s="43"/>
      <c r="J713" s="43"/>
      <c r="K713" s="43"/>
      <c r="L713" s="43"/>
      <c r="M713" s="43"/>
      <c r="N713" s="43"/>
      <c r="O713" s="43"/>
      <c r="Q713" s="43"/>
      <c r="U713" s="606"/>
    </row>
    <row r="714" spans="1:21">
      <c r="A714" s="43"/>
      <c r="C714" s="43"/>
      <c r="D714" s="43"/>
      <c r="E714" s="43"/>
      <c r="F714" s="43"/>
      <c r="G714" s="43"/>
      <c r="H714" s="43"/>
      <c r="I714" s="43"/>
      <c r="J714" s="43"/>
      <c r="K714" s="43"/>
      <c r="L714" s="43"/>
      <c r="M714" s="43"/>
      <c r="N714" s="43"/>
      <c r="O714" s="43"/>
      <c r="Q714" s="43"/>
      <c r="U714" s="606"/>
    </row>
    <row r="715" spans="1:21">
      <c r="A715" s="43"/>
      <c r="C715" s="43"/>
      <c r="D715" s="43"/>
      <c r="E715" s="43"/>
      <c r="F715" s="43"/>
      <c r="G715" s="43"/>
      <c r="H715" s="43"/>
      <c r="I715" s="43"/>
      <c r="J715" s="43"/>
      <c r="K715" s="43"/>
      <c r="L715" s="43"/>
      <c r="M715" s="43"/>
      <c r="N715" s="43"/>
      <c r="O715" s="43"/>
      <c r="Q715" s="43"/>
      <c r="U715" s="606"/>
    </row>
    <row r="716" spans="1:21">
      <c r="A716" s="43"/>
      <c r="C716" s="43"/>
      <c r="D716" s="43"/>
      <c r="E716" s="43"/>
      <c r="F716" s="43"/>
      <c r="G716" s="43"/>
      <c r="H716" s="43"/>
      <c r="I716" s="43"/>
      <c r="J716" s="43"/>
      <c r="K716" s="43"/>
      <c r="L716" s="43"/>
      <c r="M716" s="43"/>
      <c r="N716" s="43"/>
      <c r="O716" s="43"/>
      <c r="Q716" s="43"/>
      <c r="U716" s="606"/>
    </row>
    <row r="717" spans="1:21">
      <c r="A717" s="43"/>
      <c r="C717" s="43"/>
      <c r="D717" s="43"/>
      <c r="E717" s="43"/>
      <c r="F717" s="43"/>
      <c r="G717" s="43"/>
      <c r="H717" s="43"/>
      <c r="I717" s="43"/>
      <c r="J717" s="43"/>
      <c r="K717" s="43"/>
      <c r="L717" s="43"/>
      <c r="M717" s="43"/>
      <c r="N717" s="43"/>
      <c r="O717" s="43"/>
      <c r="Q717" s="43"/>
      <c r="U717" s="606"/>
    </row>
    <row r="718" spans="1:21">
      <c r="A718" s="43"/>
      <c r="C718" s="43"/>
      <c r="D718" s="43"/>
      <c r="E718" s="43"/>
      <c r="F718" s="43"/>
      <c r="G718" s="43"/>
      <c r="H718" s="43"/>
      <c r="I718" s="43"/>
      <c r="J718" s="43"/>
      <c r="K718" s="43"/>
      <c r="L718" s="43"/>
      <c r="M718" s="43"/>
      <c r="N718" s="43"/>
      <c r="O718" s="43"/>
      <c r="Q718" s="43"/>
      <c r="U718" s="606"/>
    </row>
    <row r="719" spans="1:21">
      <c r="A719" s="43"/>
      <c r="C719" s="43"/>
      <c r="D719" s="43"/>
      <c r="E719" s="43"/>
      <c r="F719" s="43"/>
      <c r="G719" s="43"/>
      <c r="H719" s="43"/>
      <c r="I719" s="43"/>
      <c r="J719" s="43"/>
      <c r="K719" s="43"/>
      <c r="L719" s="43"/>
      <c r="M719" s="43"/>
      <c r="N719" s="43"/>
      <c r="O719" s="43"/>
      <c r="Q719" s="43"/>
      <c r="U719" s="606"/>
    </row>
    <row r="720" spans="1:21">
      <c r="A720" s="43"/>
      <c r="C720" s="43"/>
      <c r="D720" s="43"/>
      <c r="E720" s="43"/>
      <c r="F720" s="43"/>
      <c r="G720" s="43"/>
      <c r="H720" s="43"/>
      <c r="I720" s="43"/>
      <c r="J720" s="43"/>
      <c r="K720" s="43"/>
      <c r="L720" s="43"/>
      <c r="M720" s="43"/>
      <c r="N720" s="43"/>
      <c r="O720" s="43"/>
      <c r="Q720" s="43"/>
      <c r="U720" s="606"/>
    </row>
    <row r="721" spans="1:21">
      <c r="A721" s="43"/>
      <c r="C721" s="43"/>
      <c r="D721" s="43"/>
      <c r="E721" s="43"/>
      <c r="F721" s="43"/>
      <c r="G721" s="43"/>
      <c r="H721" s="43"/>
      <c r="I721" s="43"/>
      <c r="J721" s="43"/>
      <c r="K721" s="43"/>
      <c r="L721" s="43"/>
      <c r="M721" s="43"/>
      <c r="N721" s="43"/>
      <c r="O721" s="43"/>
      <c r="Q721" s="43"/>
      <c r="U721" s="606"/>
    </row>
  </sheetData>
  <mergeCells count="5">
    <mergeCell ref="V87:V89"/>
    <mergeCell ref="Y87:Y89"/>
    <mergeCell ref="B76:N76"/>
    <mergeCell ref="B75:N75"/>
    <mergeCell ref="V38:V42"/>
  </mergeCells>
  <phoneticPr fontId="111" type="noConversion"/>
  <hyperlinks>
    <hyperlink ref="B3" location="Environment!B8" display="Environment!B8"/>
    <hyperlink ref="B4" location="Environment!B19" display="Environment!B19"/>
    <hyperlink ref="B5" location="Environment!B32" display="Environment!B32"/>
    <hyperlink ref="C3" location="Environment!B78" display="Environment!B78"/>
    <hyperlink ref="F3" location="Environment!B108" display="Environment!B108"/>
    <hyperlink ref="G3" location="Environment!B166" display="Environment!B166"/>
    <hyperlink ref="J3" location="Environment!B227" display="Environment!B227"/>
    <hyperlink ref="J4" location="Environment!B239" display="Environment!B239"/>
    <hyperlink ref="B246" r:id="rId1" display="https://www.novatek.ru/en/development/archive/"/>
    <hyperlink ref="B1" location="Contents!A1" display="← Back to Contents"/>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V412"/>
  <sheetViews>
    <sheetView zoomScale="50" zoomScaleNormal="50" workbookViewId="0">
      <pane xSplit="1" ySplit="8" topLeftCell="B9" activePane="bottomRight" state="frozen"/>
      <selection pane="topRight" activeCell="C1" sqref="C1"/>
      <selection pane="bottomLeft" activeCell="A9" sqref="A9"/>
      <selection pane="bottomRight" activeCell="R7" sqref="R7"/>
    </sheetView>
  </sheetViews>
  <sheetFormatPr defaultColWidth="9.140625" defaultRowHeight="18.75" outlineLevelRow="1"/>
  <cols>
    <col min="1" max="1" width="17.85546875" style="14" customWidth="1"/>
    <col min="2" max="2" width="94.42578125" style="14" customWidth="1"/>
    <col min="3" max="3" width="20.42578125" style="15" customWidth="1"/>
    <col min="4" max="8" width="20.42578125" style="16" customWidth="1"/>
    <col min="9" max="9" width="20.42578125" style="150" customWidth="1"/>
    <col min="10" max="14" width="20.42578125" style="16" customWidth="1"/>
    <col min="15" max="15" width="12.85546875" style="16" customWidth="1"/>
    <col min="16" max="16" width="15.42578125" style="589" customWidth="1"/>
    <col min="17" max="17" width="14" style="16" customWidth="1"/>
    <col min="18" max="21" width="20.42578125" style="589" customWidth="1"/>
    <col min="22" max="22" width="5.42578125" style="589" customWidth="1"/>
    <col min="23" max="23" width="13.140625" style="933" customWidth="1"/>
    <col min="24" max="25" width="5.42578125" style="589" customWidth="1"/>
    <col min="26" max="16384" width="9.140625" style="14"/>
  </cols>
  <sheetData>
    <row r="1" spans="1:25" ht="80.099999999999994" customHeight="1">
      <c r="B1" s="487" t="s">
        <v>168</v>
      </c>
      <c r="G1" s="149"/>
      <c r="L1" s="656"/>
      <c r="M1" s="656"/>
    </row>
    <row r="2" spans="1:25" s="43" customFormat="1">
      <c r="B2" s="151" t="str">
        <f>IF(Contents!$B$2=2,"CONTENTS","СОДЕРЖАНИЕ")</f>
        <v>СОДЕРЖАНИЕ</v>
      </c>
      <c r="C2" s="257"/>
      <c r="D2" s="257"/>
      <c r="E2" s="257"/>
      <c r="F2" s="257"/>
      <c r="G2" s="258"/>
      <c r="H2" s="258"/>
      <c r="I2" s="258"/>
      <c r="J2" s="257"/>
      <c r="K2" s="257"/>
      <c r="L2" s="257"/>
      <c r="M2" s="257"/>
      <c r="N2" s="257"/>
      <c r="O2" s="16"/>
      <c r="P2" s="589"/>
      <c r="Q2" s="16"/>
      <c r="R2" s="589"/>
      <c r="S2" s="589"/>
      <c r="T2" s="589"/>
      <c r="U2" s="589"/>
      <c r="V2" s="589"/>
      <c r="W2" s="933"/>
      <c r="X2" s="589"/>
      <c r="Y2" s="589"/>
    </row>
    <row r="3" spans="1:25" s="117" customFormat="1">
      <c r="A3" s="532"/>
      <c r="B3" s="568" t="str">
        <f>IF(Contents!$B$2=2,"Personnel structure","Структура персонала")</f>
        <v>Структура персонала</v>
      </c>
      <c r="C3" s="568" t="str">
        <f>IF(Contents!$B$2=2,"Distribution of employees by type of employment","Распределение работников по типу занятости")</f>
        <v>Распределение работников по типу занятости</v>
      </c>
      <c r="D3" s="568"/>
      <c r="E3" s="568"/>
      <c r="F3" s="568"/>
      <c r="G3" s="568" t="str">
        <f>IF(Contents!$B$2=2,"Staff turnover and new employees","Текучесть кадров и новые работники")</f>
        <v>Текучесть кадров и новые работники</v>
      </c>
      <c r="H3" s="568"/>
      <c r="I3" s="568"/>
      <c r="J3" s="568" t="str">
        <f>IF(Contents!$B$2=2,"Compensation","Расходы на выплату вознаграждений работникам")</f>
        <v>Расходы на выплату вознаграждений работникам</v>
      </c>
      <c r="K3" s="568"/>
      <c r="L3" s="572"/>
      <c r="M3" s="572"/>
      <c r="N3" s="571"/>
      <c r="O3" s="533"/>
      <c r="P3" s="599"/>
      <c r="Q3" s="533"/>
      <c r="R3" s="630"/>
      <c r="S3" s="630"/>
      <c r="T3" s="630"/>
      <c r="U3" s="630"/>
      <c r="V3" s="630"/>
      <c r="W3" s="937"/>
      <c r="X3" s="599"/>
      <c r="Y3" s="599"/>
    </row>
    <row r="4" spans="1:25">
      <c r="A4" s="532"/>
      <c r="B4" s="568" t="str">
        <f>IF(Contents!$B$2=2,"Distribution of employees by type of employment contract","Распределение работников по типу договора о найме")</f>
        <v>Распределение работников по типу договора о найме</v>
      </c>
      <c r="C4" s="568" t="str">
        <f>IF(Contents!$B$2=2,"Personnel diversity","Многообразие персонала")</f>
        <v>Многообразие персонала</v>
      </c>
      <c r="D4" s="568"/>
      <c r="E4" s="568"/>
      <c r="F4" s="568"/>
      <c r="G4" s="568" t="str">
        <f>IF(Contents!$B$2=2,"Social support for employees","Социальная поддержка работников")</f>
        <v>Социальная поддержка работников</v>
      </c>
      <c r="H4" s="568"/>
      <c r="I4" s="568"/>
      <c r="J4" s="568" t="str">
        <f>IF(Contents!$B$2=2,"Personnel training and development","Обучение и развитие персонала")</f>
        <v>Обучение и развитие персонала</v>
      </c>
      <c r="K4" s="568"/>
      <c r="L4" s="566"/>
      <c r="M4" s="566"/>
      <c r="N4" s="574"/>
      <c r="O4" s="533"/>
      <c r="Q4" s="533"/>
      <c r="R4" s="630"/>
      <c r="S4" s="630"/>
      <c r="T4" s="630"/>
      <c r="U4" s="630"/>
      <c r="V4" s="630"/>
      <c r="W4" s="937"/>
    </row>
    <row r="5" spans="1:25">
      <c r="A5" s="532"/>
      <c r="B5" s="568"/>
      <c r="C5" s="568"/>
      <c r="D5" s="568"/>
      <c r="E5" s="568"/>
      <c r="F5" s="568"/>
      <c r="G5" s="568"/>
      <c r="H5" s="568"/>
      <c r="I5" s="568"/>
      <c r="J5" s="568"/>
      <c r="K5" s="574"/>
      <c r="L5" s="566"/>
      <c r="M5" s="566"/>
      <c r="N5" s="574"/>
      <c r="O5" s="533"/>
      <c r="Q5" s="533"/>
      <c r="R5" s="630"/>
      <c r="S5" s="630"/>
      <c r="T5" s="630"/>
      <c r="U5" s="630"/>
      <c r="V5" s="630"/>
      <c r="W5" s="937"/>
    </row>
    <row r="6" spans="1:25" ht="30">
      <c r="A6" s="17"/>
      <c r="B6" s="356" t="str">
        <f>IF(Contents!$B$2=2,"Personnel","Персонал")</f>
        <v>Персонал</v>
      </c>
      <c r="C6" s="357"/>
      <c r="D6" s="358"/>
      <c r="E6" s="359"/>
      <c r="F6" s="360"/>
      <c r="G6" s="360"/>
      <c r="H6" s="360"/>
      <c r="I6" s="361"/>
      <c r="J6" s="362"/>
      <c r="K6" s="362"/>
      <c r="L6" s="362"/>
      <c r="M6" s="362"/>
      <c r="N6" s="362"/>
      <c r="O6" s="35"/>
      <c r="P6" s="631"/>
      <c r="Q6" s="35"/>
      <c r="R6" s="631"/>
      <c r="S6" s="631"/>
      <c r="T6" s="631"/>
      <c r="U6" s="631"/>
      <c r="W6" s="938"/>
    </row>
    <row r="7" spans="1:25" ht="54.95" customHeight="1">
      <c r="A7" s="17"/>
      <c r="B7" s="47"/>
      <c r="C7" s="19"/>
      <c r="D7" s="20">
        <v>2015</v>
      </c>
      <c r="E7" s="20">
        <v>2016</v>
      </c>
      <c r="F7" s="20">
        <v>2017</v>
      </c>
      <c r="G7" s="21">
        <v>2018</v>
      </c>
      <c r="H7" s="21">
        <v>2019</v>
      </c>
      <c r="I7" s="21">
        <v>2020</v>
      </c>
      <c r="J7" s="21">
        <v>2021</v>
      </c>
      <c r="K7" s="21">
        <v>2022</v>
      </c>
      <c r="L7" s="20">
        <v>2023</v>
      </c>
      <c r="M7" s="20">
        <v>2024</v>
      </c>
      <c r="N7" s="20">
        <v>2025</v>
      </c>
      <c r="O7" s="36"/>
      <c r="P7" s="602" t="str">
        <f>IF(Contents!$B$2=2,"Subject to external assurance in 2025","Внешний аудит в 2025 г.")</f>
        <v>Внешний аудит в 2025 г.</v>
      </c>
      <c r="Q7" s="930"/>
      <c r="R7" s="602" t="str">
        <f>IF(Contents!$B$2=2,"GRI Disclosure, including GRI 11: Oil and Gas Sector","Индексы Стандартов GRI, в т.ч. GRI 11: Oil and Gas Sector")</f>
        <v>Индексы Стандартов GRI, в т.ч. GRI 11: Oil and Gas Sector</v>
      </c>
      <c r="S7" s="602" t="str">
        <f>IF(Contents!$B$2=2,"Standards' Code SASB Oil &amp; Gas – Exploration &amp; Production 2023","Индексы Стандартов SASB Oil &amp; Gas – Exploration &amp; Production 2023")</f>
        <v>Индексы Стандартов SASB Oil &amp; Gas – Exploration &amp; Production 2023</v>
      </c>
      <c r="T7" s="602" t="str">
        <f>IF(Contents!$B$2=2,"Standards' indices IPIECA 2020","Индексы Стандартов IPIECA 2020")</f>
        <v>Индексы Стандартов IPIECA 2020</v>
      </c>
      <c r="U7" s="602" t="str">
        <f>IF(Contents!$B$2=2,"Indices of the Public Business Capital Standard","Индексы Стандарта общественного капитала бизнеса")</f>
        <v>Индексы Стандарта общественного капитала бизнеса</v>
      </c>
      <c r="V7" s="504"/>
      <c r="W7" s="602" t="str">
        <f>IF(Contents!$B$2=2,"Report scope","Границы отчетности")</f>
        <v>Границы отчетности</v>
      </c>
      <c r="X7" s="504"/>
      <c r="Y7" s="504"/>
    </row>
    <row r="8" spans="1:25" ht="20.100000000000001" customHeight="1">
      <c r="B8" s="45" t="str">
        <f>IF(Contents!$B$2=2,"Personnel structure","Структура персонала")</f>
        <v>Структура персонала</v>
      </c>
      <c r="C8" s="105"/>
      <c r="D8" s="106"/>
      <c r="E8" s="106"/>
      <c r="F8" s="106"/>
      <c r="G8" s="106"/>
      <c r="H8" s="106"/>
      <c r="I8" s="363"/>
      <c r="J8" s="363"/>
      <c r="K8" s="363"/>
      <c r="L8" s="363"/>
      <c r="M8" s="363"/>
      <c r="N8" s="363"/>
      <c r="O8" s="40"/>
      <c r="P8" s="558"/>
      <c r="Q8" s="40"/>
      <c r="R8" s="39"/>
      <c r="S8" s="39"/>
      <c r="T8" s="39"/>
      <c r="U8" s="39"/>
    </row>
    <row r="9" spans="1:25" ht="39.75" customHeight="1">
      <c r="B9" s="48" t="str">
        <f>IF(Contents!$B$2=2,"Number of employees as of the end of the year","Количество работников на конец года")</f>
        <v>Количество работников на конец года</v>
      </c>
      <c r="C9" s="49" t="str">
        <f>IF(Contents!$B$2=2,"people"," человек")</f>
        <v xml:space="preserve"> человек</v>
      </c>
      <c r="D9" s="51">
        <v>10408</v>
      </c>
      <c r="E9" s="51">
        <v>11536</v>
      </c>
      <c r="F9" s="51">
        <v>12236</v>
      </c>
      <c r="G9" s="51">
        <v>14234</v>
      </c>
      <c r="H9" s="51">
        <v>15445</v>
      </c>
      <c r="I9" s="51">
        <v>16821</v>
      </c>
      <c r="J9" s="51">
        <v>18404</v>
      </c>
      <c r="K9" s="51">
        <v>19570</v>
      </c>
      <c r="L9" s="51">
        <v>20905</v>
      </c>
      <c r="M9" s="51">
        <v>22036</v>
      </c>
      <c r="N9" s="51">
        <v>23593</v>
      </c>
      <c r="O9" s="869"/>
      <c r="P9" s="558" t="str">
        <f>IF(Contents!$B$2=2,"Yes","Да")</f>
        <v>Да</v>
      </c>
      <c r="Q9" s="37"/>
      <c r="R9" s="39" t="s">
        <v>122</v>
      </c>
      <c r="S9" s="39"/>
      <c r="T9" s="39"/>
      <c r="U9" s="39"/>
      <c r="W9" s="933">
        <v>1</v>
      </c>
      <c r="Y9" s="595"/>
    </row>
    <row r="10" spans="1:25" ht="22.5" customHeight="1">
      <c r="B10" s="364" t="str">
        <f>IF(Contents!$B$2=2,"by gender","по полу")</f>
        <v>по полу</v>
      </c>
      <c r="C10" s="77"/>
      <c r="D10" s="111"/>
      <c r="E10" s="111"/>
      <c r="F10" s="111"/>
      <c r="G10" s="111"/>
      <c r="H10" s="111"/>
      <c r="I10" s="85"/>
      <c r="J10" s="111"/>
      <c r="K10" s="111"/>
      <c r="L10" s="111"/>
      <c r="M10" s="111"/>
      <c r="N10" s="111"/>
      <c r="O10" s="37"/>
      <c r="P10" s="558"/>
      <c r="Q10" s="164"/>
      <c r="R10" s="39" t="s">
        <v>122</v>
      </c>
      <c r="S10" s="39"/>
      <c r="T10" s="39" t="s">
        <v>123</v>
      </c>
      <c r="U10" s="39"/>
      <c r="Y10" s="595"/>
    </row>
    <row r="11" spans="1:25" ht="22.5" customHeight="1">
      <c r="B11" s="93" t="str">
        <f>IF(Contents!$B$2=2,"Male","Мужчины")</f>
        <v>Мужчины</v>
      </c>
      <c r="C11" s="53" t="str">
        <f>IF(Contents!$B$2=2,"people"," человек")</f>
        <v xml:space="preserve"> человек</v>
      </c>
      <c r="D11" s="90">
        <v>7677</v>
      </c>
      <c r="E11" s="90">
        <v>8629</v>
      </c>
      <c r="F11" s="90">
        <v>9196</v>
      </c>
      <c r="G11" s="90">
        <v>10931</v>
      </c>
      <c r="H11" s="90">
        <v>11825</v>
      </c>
      <c r="I11" s="91">
        <v>12920</v>
      </c>
      <c r="J11" s="91">
        <v>14317</v>
      </c>
      <c r="K11" s="91">
        <v>15301</v>
      </c>
      <c r="L11" s="91">
        <v>16472</v>
      </c>
      <c r="M11" s="91">
        <v>17540</v>
      </c>
      <c r="N11" s="89">
        <v>19050</v>
      </c>
      <c r="O11" s="879"/>
      <c r="P11" s="558" t="str">
        <f>IF(Contents!$B$2=2,"Yes","Да")</f>
        <v>Да</v>
      </c>
      <c r="Q11" s="164"/>
      <c r="R11" s="39"/>
      <c r="S11" s="39"/>
      <c r="T11" s="39"/>
      <c r="U11" s="39"/>
      <c r="W11" s="933">
        <v>1</v>
      </c>
      <c r="Y11" s="595"/>
    </row>
    <row r="12" spans="1:25" ht="22.5" customHeight="1">
      <c r="B12" s="93" t="str">
        <f>IF(Contents!$B$2=2,"Female","Женщины")</f>
        <v>Женщины</v>
      </c>
      <c r="C12" s="53" t="str">
        <f>IF(Contents!$B$2=2,"people"," человек")</f>
        <v xml:space="preserve"> человек</v>
      </c>
      <c r="D12" s="90">
        <v>2731</v>
      </c>
      <c r="E12" s="90">
        <v>2907</v>
      </c>
      <c r="F12" s="90">
        <v>3040</v>
      </c>
      <c r="G12" s="90">
        <v>3303</v>
      </c>
      <c r="H12" s="90">
        <v>3620</v>
      </c>
      <c r="I12" s="91">
        <v>3901</v>
      </c>
      <c r="J12" s="91">
        <v>4087</v>
      </c>
      <c r="K12" s="91">
        <v>4269</v>
      </c>
      <c r="L12" s="91">
        <v>4433</v>
      </c>
      <c r="M12" s="91">
        <v>4496</v>
      </c>
      <c r="N12" s="89">
        <v>4543</v>
      </c>
      <c r="O12" s="879"/>
      <c r="P12" s="558" t="str">
        <f>IF(Contents!$B$2=2,"Yes","Да")</f>
        <v>Да</v>
      </c>
      <c r="Q12" s="164"/>
      <c r="R12" s="39"/>
      <c r="S12" s="39"/>
      <c r="T12" s="39"/>
      <c r="U12" s="39"/>
      <c r="W12" s="933">
        <v>1</v>
      </c>
      <c r="Y12" s="595"/>
    </row>
    <row r="13" spans="1:25" ht="22.5" customHeight="1">
      <c r="B13" s="78" t="str">
        <f>IF(Contents!$B$2=2,"Percentage of Male employees","Доля мужчин")</f>
        <v>Доля мужчин</v>
      </c>
      <c r="C13" s="53" t="s">
        <v>0</v>
      </c>
      <c r="D13" s="38">
        <v>73.8</v>
      </c>
      <c r="E13" s="38">
        <v>74.8</v>
      </c>
      <c r="F13" s="38">
        <v>75.2</v>
      </c>
      <c r="G13" s="38">
        <v>76.8</v>
      </c>
      <c r="H13" s="38">
        <v>76.599999999999994</v>
      </c>
      <c r="I13" s="38">
        <v>76.8</v>
      </c>
      <c r="J13" s="38">
        <v>77.8</v>
      </c>
      <c r="K13" s="38">
        <v>78.2</v>
      </c>
      <c r="L13" s="38">
        <v>78.8</v>
      </c>
      <c r="M13" s="38">
        <v>79.600000000000009</v>
      </c>
      <c r="N13" s="89">
        <v>80.7</v>
      </c>
      <c r="O13" s="879"/>
      <c r="P13" s="558" t="str">
        <f>IF(Contents!$B$2=2,"Yes","Да")</f>
        <v>Да</v>
      </c>
      <c r="Q13" s="164"/>
      <c r="R13" s="39"/>
      <c r="S13" s="39"/>
      <c r="T13" s="39"/>
      <c r="U13" s="39" t="str">
        <f>IF(Contents!$B$2=2,"PBCS 25","СОКБ 25")</f>
        <v>СОКБ 25</v>
      </c>
      <c r="W13" s="933">
        <v>1</v>
      </c>
      <c r="Y13" s="595"/>
    </row>
    <row r="14" spans="1:25" ht="22.5" customHeight="1">
      <c r="B14" s="78" t="str">
        <f>IF(Contents!$B$2=2,"Percentage of Female employees","Доля женщин")</f>
        <v>Доля женщин</v>
      </c>
      <c r="C14" s="53" t="s">
        <v>0</v>
      </c>
      <c r="D14" s="38">
        <v>26.200000000000003</v>
      </c>
      <c r="E14" s="38">
        <v>25.2</v>
      </c>
      <c r="F14" s="38">
        <v>24.8</v>
      </c>
      <c r="G14" s="38">
        <v>23.200000000000003</v>
      </c>
      <c r="H14" s="38">
        <v>23.400000000000002</v>
      </c>
      <c r="I14" s="38">
        <v>23.200000000000003</v>
      </c>
      <c r="J14" s="38">
        <v>22.2</v>
      </c>
      <c r="K14" s="38">
        <v>21.8</v>
      </c>
      <c r="L14" s="38">
        <v>21.2</v>
      </c>
      <c r="M14" s="38">
        <v>20.399999999999999</v>
      </c>
      <c r="N14" s="89">
        <v>19.3</v>
      </c>
      <c r="O14" s="879"/>
      <c r="P14" s="558" t="str">
        <f>IF(Contents!$B$2=2,"Yes","Да")</f>
        <v>Да</v>
      </c>
      <c r="Q14" s="164"/>
      <c r="R14" s="39"/>
      <c r="S14" s="39"/>
      <c r="T14" s="39"/>
      <c r="U14" s="39" t="str">
        <f>IF(Contents!$B$2=2,"PBCS 25","СОКБ 25")</f>
        <v>СОКБ 25</v>
      </c>
      <c r="W14" s="933">
        <v>1</v>
      </c>
      <c r="Y14" s="595"/>
    </row>
    <row r="15" spans="1:25" ht="25.5" customHeight="1">
      <c r="B15" s="23" t="str">
        <f>IF(Contents!$B$2=2,"by position","по должностям")</f>
        <v>по должностям</v>
      </c>
      <c r="C15" s="77"/>
      <c r="D15" s="111"/>
      <c r="E15" s="111"/>
      <c r="F15" s="111"/>
      <c r="G15" s="111"/>
      <c r="H15" s="111"/>
      <c r="I15" s="366"/>
      <c r="J15" s="111"/>
      <c r="K15" s="111"/>
      <c r="L15" s="111"/>
      <c r="M15" s="111"/>
      <c r="N15" s="111"/>
      <c r="O15" s="37"/>
      <c r="P15" s="595"/>
      <c r="Q15" s="164"/>
      <c r="R15" s="187" t="s">
        <v>124</v>
      </c>
      <c r="S15" s="39"/>
      <c r="T15" s="39" t="s">
        <v>123</v>
      </c>
      <c r="U15" s="39"/>
    </row>
    <row r="16" spans="1:25" ht="22.5" customHeight="1">
      <c r="B16" s="78" t="str">
        <f>IF(Contents!$B$2=2,"Managers","Руководители")</f>
        <v>Руководители</v>
      </c>
      <c r="C16" s="53" t="str">
        <f>IF(Contents!$B$2=2,"people"," человек")</f>
        <v xml:space="preserve"> человек</v>
      </c>
      <c r="D16" s="46" t="s">
        <v>185</v>
      </c>
      <c r="E16" s="46" t="s">
        <v>185</v>
      </c>
      <c r="F16" s="46" t="s">
        <v>185</v>
      </c>
      <c r="G16" s="46" t="s">
        <v>185</v>
      </c>
      <c r="H16" s="46" t="s">
        <v>185</v>
      </c>
      <c r="I16" s="46" t="s">
        <v>185</v>
      </c>
      <c r="J16" s="46" t="s">
        <v>185</v>
      </c>
      <c r="K16" s="46" t="s">
        <v>185</v>
      </c>
      <c r="L16" s="38">
        <v>4126</v>
      </c>
      <c r="M16" s="38">
        <v>4289</v>
      </c>
      <c r="N16" s="89">
        <v>4418</v>
      </c>
      <c r="O16" s="879"/>
      <c r="P16" s="558" t="str">
        <f>IF(Contents!$B$2=2,"Yes","Да")</f>
        <v>Да</v>
      </c>
      <c r="Q16" s="164"/>
      <c r="R16" s="39"/>
      <c r="S16" s="39"/>
      <c r="T16" s="39"/>
      <c r="U16" s="39"/>
      <c r="W16" s="933">
        <v>1</v>
      </c>
    </row>
    <row r="17" spans="2:25" ht="22.5" customHeight="1">
      <c r="B17" s="87" t="str">
        <f>IF(Contents!$B$2=2,"White-collar employees","Специалисты и служащие")</f>
        <v>Специалисты и служащие</v>
      </c>
      <c r="C17" s="53" t="str">
        <f>IF(Contents!$B$2=2,"people"," человек")</f>
        <v xml:space="preserve"> человек</v>
      </c>
      <c r="D17" s="46" t="s">
        <v>185</v>
      </c>
      <c r="E17" s="46" t="s">
        <v>185</v>
      </c>
      <c r="F17" s="46" t="s">
        <v>185</v>
      </c>
      <c r="G17" s="46" t="s">
        <v>185</v>
      </c>
      <c r="H17" s="46" t="s">
        <v>185</v>
      </c>
      <c r="I17" s="46" t="s">
        <v>185</v>
      </c>
      <c r="J17" s="46" t="s">
        <v>185</v>
      </c>
      <c r="K17" s="46" t="s">
        <v>185</v>
      </c>
      <c r="L17" s="38">
        <v>8023</v>
      </c>
      <c r="M17" s="38">
        <v>8529</v>
      </c>
      <c r="N17" s="89">
        <v>9877</v>
      </c>
      <c r="O17" s="879"/>
      <c r="P17" s="558" t="str">
        <f>IF(Contents!$B$2=2,"Yes","Да")</f>
        <v>Да</v>
      </c>
      <c r="Q17" s="164"/>
      <c r="R17" s="39"/>
      <c r="S17" s="39"/>
      <c r="T17" s="39"/>
      <c r="U17" s="39"/>
      <c r="W17" s="933">
        <v>1</v>
      </c>
    </row>
    <row r="18" spans="2:25" ht="22.5" customHeight="1">
      <c r="B18" s="78" t="str">
        <f>IF(Contents!$B$2=2,"Blue-collar employees","Рабочие")</f>
        <v>Рабочие</v>
      </c>
      <c r="C18" s="53" t="str">
        <f>IF(Contents!$B$2=2,"people"," человек")</f>
        <v xml:space="preserve"> человек</v>
      </c>
      <c r="D18" s="46" t="s">
        <v>185</v>
      </c>
      <c r="E18" s="46" t="s">
        <v>185</v>
      </c>
      <c r="F18" s="46" t="s">
        <v>185</v>
      </c>
      <c r="G18" s="46" t="s">
        <v>185</v>
      </c>
      <c r="H18" s="46" t="s">
        <v>185</v>
      </c>
      <c r="I18" s="46" t="s">
        <v>185</v>
      </c>
      <c r="J18" s="46" t="s">
        <v>185</v>
      </c>
      <c r="K18" s="46" t="s">
        <v>185</v>
      </c>
      <c r="L18" s="38">
        <v>8756</v>
      </c>
      <c r="M18" s="38">
        <v>9218</v>
      </c>
      <c r="N18" s="89">
        <v>9298</v>
      </c>
      <c r="O18" s="879"/>
      <c r="P18" s="558" t="str">
        <f>IF(Contents!$B$2=2,"Yes","Да")</f>
        <v>Да</v>
      </c>
      <c r="Q18" s="164"/>
      <c r="R18" s="39"/>
      <c r="S18" s="39"/>
      <c r="T18" s="39"/>
      <c r="U18" s="39"/>
      <c r="W18" s="933">
        <v>1</v>
      </c>
    </row>
    <row r="19" spans="2:25" ht="22.5" customHeight="1">
      <c r="B19" s="78" t="str">
        <f>IF(Contents!$B$2=2,"Percentage of Managers","Доля руководителей")</f>
        <v>Доля руководителей</v>
      </c>
      <c r="C19" s="53" t="s">
        <v>0</v>
      </c>
      <c r="D19" s="46" t="s">
        <v>185</v>
      </c>
      <c r="E19" s="46" t="s">
        <v>185</v>
      </c>
      <c r="F19" s="46" t="s">
        <v>185</v>
      </c>
      <c r="G19" s="46" t="s">
        <v>185</v>
      </c>
      <c r="H19" s="46" t="s">
        <v>185</v>
      </c>
      <c r="I19" s="46" t="s">
        <v>185</v>
      </c>
      <c r="J19" s="46" t="s">
        <v>185</v>
      </c>
      <c r="K19" s="46" t="s">
        <v>185</v>
      </c>
      <c r="L19" s="38">
        <v>19.73690504663956</v>
      </c>
      <c r="M19" s="38">
        <v>19.46</v>
      </c>
      <c r="N19" s="89">
        <v>18.73</v>
      </c>
      <c r="O19" s="878"/>
      <c r="P19" s="558" t="str">
        <f>IF(Contents!$B$2=2,"Yes","Да")</f>
        <v>Да</v>
      </c>
      <c r="Q19" s="164"/>
      <c r="R19" s="39"/>
      <c r="S19" s="39"/>
      <c r="T19" s="39"/>
      <c r="U19" s="39"/>
      <c r="W19" s="933">
        <v>1</v>
      </c>
    </row>
    <row r="20" spans="2:25" ht="22.5" customHeight="1">
      <c r="B20" s="78" t="str">
        <f>IF(Contents!$B$2=2,"Percentage of White-collar employees","Доля специалистов и служащих")</f>
        <v>Доля специалистов и служащих</v>
      </c>
      <c r="C20" s="53" t="s">
        <v>0</v>
      </c>
      <c r="D20" s="46" t="s">
        <v>185</v>
      </c>
      <c r="E20" s="46" t="s">
        <v>185</v>
      </c>
      <c r="F20" s="46" t="s">
        <v>185</v>
      </c>
      <c r="G20" s="46" t="s">
        <v>185</v>
      </c>
      <c r="H20" s="46" t="s">
        <v>185</v>
      </c>
      <c r="I20" s="46" t="s">
        <v>185</v>
      </c>
      <c r="J20" s="46" t="s">
        <v>185</v>
      </c>
      <c r="K20" s="46" t="s">
        <v>185</v>
      </c>
      <c r="L20" s="38">
        <v>38.378378378378379</v>
      </c>
      <c r="M20" s="38">
        <v>38.700000000000003</v>
      </c>
      <c r="N20" s="89">
        <v>41.86</v>
      </c>
      <c r="O20" s="878"/>
      <c r="P20" s="558" t="str">
        <f>IF(Contents!$B$2=2,"Yes","Да")</f>
        <v>Да</v>
      </c>
      <c r="Q20" s="164"/>
      <c r="R20" s="39"/>
      <c r="S20" s="39"/>
      <c r="T20" s="39"/>
      <c r="U20" s="39"/>
      <c r="W20" s="933">
        <v>1</v>
      </c>
    </row>
    <row r="21" spans="2:25" ht="22.5" customHeight="1">
      <c r="B21" s="78" t="str">
        <f>IF(Contents!$B$2=2,"Percentage of Blue-collar employees","Доля рабочих")</f>
        <v>Доля рабочих</v>
      </c>
      <c r="C21" s="53" t="s">
        <v>0</v>
      </c>
      <c r="D21" s="46" t="s">
        <v>185</v>
      </c>
      <c r="E21" s="46" t="s">
        <v>185</v>
      </c>
      <c r="F21" s="46" t="s">
        <v>185</v>
      </c>
      <c r="G21" s="46" t="s">
        <v>185</v>
      </c>
      <c r="H21" s="46" t="s">
        <v>185</v>
      </c>
      <c r="I21" s="46" t="s">
        <v>185</v>
      </c>
      <c r="J21" s="46" t="s">
        <v>185</v>
      </c>
      <c r="K21" s="46" t="s">
        <v>185</v>
      </c>
      <c r="L21" s="38">
        <v>41.884716574982065</v>
      </c>
      <c r="M21" s="38">
        <v>41.83</v>
      </c>
      <c r="N21" s="89">
        <v>39.410000000000004</v>
      </c>
      <c r="O21" s="878"/>
      <c r="P21" s="558" t="str">
        <f>IF(Contents!$B$2=2,"Yes","Да")</f>
        <v>Да</v>
      </c>
      <c r="Q21" s="164"/>
      <c r="R21" s="39"/>
      <c r="S21" s="39"/>
      <c r="T21" s="39"/>
      <c r="U21" s="39"/>
      <c r="W21" s="933">
        <v>1</v>
      </c>
    </row>
    <row r="22" spans="2:25" ht="22.5" customHeight="1">
      <c r="B22" s="23" t="str">
        <f>IF(Contents!$B$2=2,"by age","по возрасту")</f>
        <v>по возрасту</v>
      </c>
      <c r="C22" s="77"/>
      <c r="D22" s="111"/>
      <c r="E22" s="111"/>
      <c r="F22" s="111"/>
      <c r="G22" s="111"/>
      <c r="H22" s="111"/>
      <c r="I22" s="366"/>
      <c r="J22" s="111"/>
      <c r="K22" s="111"/>
      <c r="L22" s="111"/>
      <c r="M22" s="111"/>
      <c r="N22" s="111"/>
      <c r="O22" s="37"/>
      <c r="P22" s="595"/>
      <c r="Q22" s="164"/>
      <c r="R22" s="187" t="s">
        <v>124</v>
      </c>
      <c r="S22" s="39"/>
      <c r="T22" s="39" t="s">
        <v>123</v>
      </c>
      <c r="U22" s="39" t="str">
        <f>IF(Contents!$B$2=2,"PBCS 25","СОКБ 25")</f>
        <v>СОКБ 25</v>
      </c>
    </row>
    <row r="23" spans="2:25" ht="22.5" customHeight="1">
      <c r="B23" s="78" t="str">
        <f>IF(Contents!$B$2=2,"Under 30","До 30 лет")</f>
        <v>До 30 лет</v>
      </c>
      <c r="C23" s="53" t="str">
        <f>IF(Contents!$B$2=2,"people"," человек")</f>
        <v xml:space="preserve"> человек</v>
      </c>
      <c r="D23" s="46" t="s">
        <v>185</v>
      </c>
      <c r="E23" s="46" t="s">
        <v>185</v>
      </c>
      <c r="F23" s="90">
        <v>1830</v>
      </c>
      <c r="G23" s="90">
        <v>1815</v>
      </c>
      <c r="H23" s="90">
        <v>1870</v>
      </c>
      <c r="I23" s="90">
        <v>1825</v>
      </c>
      <c r="J23" s="91">
        <v>1785</v>
      </c>
      <c r="K23" s="91">
        <v>1769</v>
      </c>
      <c r="L23" s="38">
        <v>1690</v>
      </c>
      <c r="M23" s="38">
        <v>1644</v>
      </c>
      <c r="N23" s="89">
        <v>1670</v>
      </c>
      <c r="O23" s="879"/>
      <c r="P23" s="558" t="str">
        <f>IF(Contents!$B$2=2,"Yes","Да")</f>
        <v>Да</v>
      </c>
      <c r="Q23" s="164"/>
      <c r="R23" s="39"/>
      <c r="S23" s="39"/>
      <c r="T23" s="39"/>
      <c r="U23" s="39"/>
      <c r="W23" s="933">
        <v>1</v>
      </c>
    </row>
    <row r="24" spans="2:25" ht="22.5" customHeight="1">
      <c r="B24" s="78" t="str">
        <f>IF(Contents!$B$2=2,"30 to 50","30-50 лет")</f>
        <v>30-50 лет</v>
      </c>
      <c r="C24" s="53" t="str">
        <f>IF(Contents!$B$2=2,"people"," человек")</f>
        <v xml:space="preserve"> человек</v>
      </c>
      <c r="D24" s="46" t="s">
        <v>185</v>
      </c>
      <c r="E24" s="46" t="s">
        <v>185</v>
      </c>
      <c r="F24" s="90">
        <v>8571</v>
      </c>
      <c r="G24" s="90">
        <v>9856</v>
      </c>
      <c r="H24" s="90">
        <v>11326</v>
      </c>
      <c r="I24" s="90">
        <v>12524</v>
      </c>
      <c r="J24" s="91">
        <v>13847</v>
      </c>
      <c r="K24" s="91">
        <v>14692</v>
      </c>
      <c r="L24" s="38">
        <v>15760</v>
      </c>
      <c r="M24" s="38">
        <v>16518</v>
      </c>
      <c r="N24" s="89">
        <v>17583</v>
      </c>
      <c r="O24" s="879"/>
      <c r="P24" s="558" t="str">
        <f>IF(Contents!$B$2=2,"Yes","Да")</f>
        <v>Да</v>
      </c>
      <c r="Q24" s="164"/>
      <c r="R24" s="39"/>
      <c r="S24" s="39"/>
      <c r="T24" s="39"/>
      <c r="U24" s="39"/>
      <c r="W24" s="933">
        <v>1</v>
      </c>
    </row>
    <row r="25" spans="2:25" ht="22.5" customHeight="1">
      <c r="B25" s="78" t="str">
        <f>IF(Contents!$B$2=2,"Over 50","Старше 50 лет")</f>
        <v>Старше 50 лет</v>
      </c>
      <c r="C25" s="53" t="str">
        <f>IF(Contents!$B$2=2,"people"," человек")</f>
        <v xml:space="preserve"> человек</v>
      </c>
      <c r="D25" s="46" t="s">
        <v>185</v>
      </c>
      <c r="E25" s="46" t="s">
        <v>185</v>
      </c>
      <c r="F25" s="90">
        <v>1835</v>
      </c>
      <c r="G25" s="90">
        <v>2023</v>
      </c>
      <c r="H25" s="90">
        <v>2249</v>
      </c>
      <c r="I25" s="90">
        <v>2472</v>
      </c>
      <c r="J25" s="91">
        <v>2772</v>
      </c>
      <c r="K25" s="91">
        <v>3109</v>
      </c>
      <c r="L25" s="38">
        <v>3455</v>
      </c>
      <c r="M25" s="38">
        <v>3874</v>
      </c>
      <c r="N25" s="89">
        <v>4340</v>
      </c>
      <c r="O25" s="879"/>
      <c r="P25" s="558" t="str">
        <f>IF(Contents!$B$2=2,"Yes","Да")</f>
        <v>Да</v>
      </c>
      <c r="Q25" s="164"/>
      <c r="R25" s="39"/>
      <c r="S25" s="39"/>
      <c r="T25" s="39"/>
      <c r="U25" s="39"/>
      <c r="W25" s="933">
        <v>1</v>
      </c>
    </row>
    <row r="26" spans="2:25" ht="22.5" customHeight="1">
      <c r="B26" s="78" t="str">
        <f>IF(Contents!$B$2=2,"Percentage of employees Under 30","Доля работников до 30 лет")</f>
        <v>Доля работников до 30 лет</v>
      </c>
      <c r="C26" s="53" t="s">
        <v>0</v>
      </c>
      <c r="D26" s="46" t="s">
        <v>185</v>
      </c>
      <c r="E26" s="46" t="s">
        <v>185</v>
      </c>
      <c r="F26" s="46">
        <v>14.955867930696307</v>
      </c>
      <c r="G26" s="46">
        <v>12.751159196290571</v>
      </c>
      <c r="H26" s="46">
        <v>12.107478148268049</v>
      </c>
      <c r="I26" s="46">
        <v>10.849533321443435</v>
      </c>
      <c r="J26" s="46">
        <v>9.6989784829384913</v>
      </c>
      <c r="K26" s="46">
        <v>9.0393459376596841</v>
      </c>
      <c r="L26" s="46">
        <v>8.08419038507534</v>
      </c>
      <c r="M26" s="46">
        <v>7.0000000000000009</v>
      </c>
      <c r="N26" s="89">
        <v>7.0000000000000009</v>
      </c>
      <c r="O26" s="38"/>
      <c r="P26" s="558" t="str">
        <f>IF(Contents!$B$2=2,"Yes","Да")</f>
        <v>Да</v>
      </c>
      <c r="Q26" s="164"/>
      <c r="R26" s="39"/>
      <c r="S26" s="39"/>
      <c r="T26" s="39"/>
      <c r="U26" s="39"/>
      <c r="W26" s="933">
        <v>1</v>
      </c>
    </row>
    <row r="27" spans="2:25" ht="22.5" customHeight="1">
      <c r="B27" s="78" t="str">
        <f>IF(Contents!$B$2=2,"Percentage of employees 30 to 50","Доля работников от 30 до 50 лет")</f>
        <v>Доля работников от 30 до 50 лет</v>
      </c>
      <c r="C27" s="53" t="s">
        <v>0</v>
      </c>
      <c r="D27" s="46" t="s">
        <v>185</v>
      </c>
      <c r="E27" s="46" t="s">
        <v>185</v>
      </c>
      <c r="F27" s="46">
        <v>70.047401111474343</v>
      </c>
      <c r="G27" s="46">
        <v>69.24265842349304</v>
      </c>
      <c r="H27" s="46">
        <v>73.331175137584978</v>
      </c>
      <c r="I27" s="46">
        <v>74.454550859045241</v>
      </c>
      <c r="J27" s="46">
        <v>75.239078461204087</v>
      </c>
      <c r="K27" s="46">
        <v>75.074092999489011</v>
      </c>
      <c r="L27" s="46">
        <v>75.38866299928246</v>
      </c>
      <c r="M27" s="46">
        <v>75</v>
      </c>
      <c r="N27" s="89">
        <v>75</v>
      </c>
      <c r="O27" s="38"/>
      <c r="P27" s="558" t="str">
        <f>IF(Contents!$B$2=2,"Yes","Да")</f>
        <v>Да</v>
      </c>
      <c r="Q27" s="164"/>
      <c r="R27" s="39"/>
      <c r="S27" s="39"/>
      <c r="T27" s="39"/>
      <c r="U27" s="39"/>
      <c r="W27" s="933">
        <v>1</v>
      </c>
    </row>
    <row r="28" spans="2:25" ht="22.5" customHeight="1">
      <c r="B28" s="78" t="str">
        <f>IF(Contents!$B$2=2,"Percentage of employees Over 50","Доля работников старше 50 лет")</f>
        <v>Доля работников старше 50 лет</v>
      </c>
      <c r="C28" s="53" t="s">
        <v>0</v>
      </c>
      <c r="D28" s="46" t="s">
        <v>185</v>
      </c>
      <c r="E28" s="46" t="s">
        <v>185</v>
      </c>
      <c r="F28" s="46">
        <v>14.996730957829357</v>
      </c>
      <c r="G28" s="46">
        <v>14.212449065617536</v>
      </c>
      <c r="H28" s="46">
        <v>14.561346714146971</v>
      </c>
      <c r="I28" s="46">
        <v>14.695915819511324</v>
      </c>
      <c r="J28" s="46">
        <v>15.061943055857421</v>
      </c>
      <c r="K28" s="46">
        <v>15.886561062851303</v>
      </c>
      <c r="L28" s="46">
        <v>16.527146615642192</v>
      </c>
      <c r="M28" s="46">
        <v>18</v>
      </c>
      <c r="N28" s="89">
        <v>18</v>
      </c>
      <c r="O28" s="38"/>
      <c r="P28" s="558" t="str">
        <f>IF(Contents!$B$2=2,"Yes","Да")</f>
        <v>Да</v>
      </c>
      <c r="Q28" s="164"/>
      <c r="R28" s="39"/>
      <c r="S28" s="39"/>
      <c r="T28" s="39"/>
      <c r="U28" s="39"/>
      <c r="W28" s="933">
        <v>1</v>
      </c>
    </row>
    <row r="29" spans="2:25" ht="22.5" customHeight="1">
      <c r="B29" s="23" t="str">
        <f>IF(Contents!$B$2=2,"by region","по региону")</f>
        <v>по региону</v>
      </c>
      <c r="C29" s="77"/>
      <c r="D29" s="111"/>
      <c r="E29" s="111"/>
      <c r="F29" s="111"/>
      <c r="G29" s="111"/>
      <c r="H29" s="111"/>
      <c r="I29" s="366"/>
      <c r="J29" s="111"/>
      <c r="K29" s="111"/>
      <c r="L29" s="111"/>
      <c r="M29" s="111"/>
      <c r="N29" s="111"/>
      <c r="O29" s="37"/>
      <c r="P29" s="558"/>
      <c r="Q29" s="164"/>
      <c r="R29" s="39" t="s">
        <v>122</v>
      </c>
      <c r="S29" s="39"/>
      <c r="T29" s="39" t="s">
        <v>123</v>
      </c>
      <c r="U29" s="39"/>
      <c r="Y29" s="595"/>
    </row>
    <row r="30" spans="2:25" ht="22.5" customHeight="1">
      <c r="B30" s="177" t="str">
        <f>IF(Contents!$B$2=2,"Russian Federation","Российская Федерация")</f>
        <v>Российская Федерация</v>
      </c>
      <c r="C30" s="53" t="str">
        <f>IF(Contents!$B$2=2,"people"," человек")</f>
        <v xml:space="preserve"> человек</v>
      </c>
      <c r="D30" s="90">
        <v>10307</v>
      </c>
      <c r="E30" s="90">
        <v>11427</v>
      </c>
      <c r="F30" s="90">
        <v>12102</v>
      </c>
      <c r="G30" s="90">
        <v>13532</v>
      </c>
      <c r="H30" s="90">
        <v>15239</v>
      </c>
      <c r="I30" s="90">
        <v>16588</v>
      </c>
      <c r="J30" s="90">
        <v>18139</v>
      </c>
      <c r="K30" s="90">
        <v>19448</v>
      </c>
      <c r="L30" s="90">
        <v>20774</v>
      </c>
      <c r="M30" s="90">
        <v>21877</v>
      </c>
      <c r="N30" s="95">
        <v>23428</v>
      </c>
      <c r="O30" s="879"/>
      <c r="P30" s="558" t="str">
        <f>IF(Contents!$B$2=2,"Yes","Да")</f>
        <v>Да</v>
      </c>
      <c r="Q30" s="164"/>
      <c r="R30" s="39"/>
      <c r="S30" s="39"/>
      <c r="T30" s="39"/>
      <c r="U30" s="39"/>
      <c r="W30" s="933">
        <v>1</v>
      </c>
      <c r="Y30" s="595"/>
    </row>
    <row r="31" spans="2:25" ht="22.5" customHeight="1">
      <c r="B31" s="207" t="str">
        <f>IF(Contents!$B$2=2,"Yamal-Nenets Autonomous Region","Ямало-Ненецкий автономный округ")</f>
        <v>Ямало-Ненецкий автономный округ</v>
      </c>
      <c r="C31" s="53" t="str">
        <f>IF(Contents!$B$2=2,"people"," человек")</f>
        <v xml:space="preserve"> человек</v>
      </c>
      <c r="D31" s="90">
        <v>6509</v>
      </c>
      <c r="E31" s="90">
        <v>7281</v>
      </c>
      <c r="F31" s="90">
        <v>7916</v>
      </c>
      <c r="G31" s="90">
        <v>8815</v>
      </c>
      <c r="H31" s="90">
        <v>9647</v>
      </c>
      <c r="I31" s="91">
        <v>10127</v>
      </c>
      <c r="J31" s="91">
        <v>10950</v>
      </c>
      <c r="K31" s="91">
        <v>11517</v>
      </c>
      <c r="L31" s="91">
        <v>12559</v>
      </c>
      <c r="M31" s="91">
        <v>13300</v>
      </c>
      <c r="N31" s="89">
        <v>14606</v>
      </c>
      <c r="O31" s="879"/>
      <c r="P31" s="558" t="str">
        <f>IF(Contents!$B$2=2,"Yes","Да")</f>
        <v>Да</v>
      </c>
      <c r="Q31" s="164"/>
      <c r="R31" s="39"/>
      <c r="S31" s="39"/>
      <c r="T31" s="39"/>
      <c r="U31" s="39"/>
      <c r="W31" s="933">
        <v>1</v>
      </c>
      <c r="Y31" s="595"/>
    </row>
    <row r="32" spans="2:25" ht="22.5" customHeight="1">
      <c r="B32" s="207" t="str">
        <f>IF(Contents!$B$2=2,"Moscow and Moscow Region","Москва и Московская область")</f>
        <v>Москва и Московская область</v>
      </c>
      <c r="C32" s="53" t="str">
        <f>IF(Contents!$B$2=2,"people"," человек")</f>
        <v xml:space="preserve"> человек</v>
      </c>
      <c r="D32" s="90">
        <v>1499</v>
      </c>
      <c r="E32" s="90">
        <v>1759</v>
      </c>
      <c r="F32" s="90">
        <v>1605</v>
      </c>
      <c r="G32" s="90">
        <v>1766</v>
      </c>
      <c r="H32" s="90">
        <v>2092</v>
      </c>
      <c r="I32" s="91">
        <v>2386</v>
      </c>
      <c r="J32" s="91">
        <v>2596</v>
      </c>
      <c r="K32" s="91">
        <v>2642</v>
      </c>
      <c r="L32" s="91">
        <v>2950</v>
      </c>
      <c r="M32" s="91">
        <v>2952</v>
      </c>
      <c r="N32" s="89">
        <v>2960</v>
      </c>
      <c r="O32" s="879"/>
      <c r="P32" s="558" t="str">
        <f>IF(Contents!$B$2=2,"Yes","Да")</f>
        <v>Да</v>
      </c>
      <c r="Q32" s="164"/>
      <c r="R32" s="39"/>
      <c r="S32" s="39"/>
      <c r="T32" s="39"/>
      <c r="U32" s="39"/>
      <c r="W32" s="933">
        <v>1</v>
      </c>
      <c r="Y32" s="595"/>
    </row>
    <row r="33" spans="1:25" ht="22.5" customHeight="1">
      <c r="B33" s="207" t="str">
        <f>IF(Contents!$B$2=2,"Chelyabinsk Region","Челябинская область")</f>
        <v>Челябинская область</v>
      </c>
      <c r="C33" s="53" t="str">
        <f>IF(Contents!$B$2=2,"people"," человек")</f>
        <v xml:space="preserve"> человек</v>
      </c>
      <c r="D33" s="90">
        <v>920</v>
      </c>
      <c r="E33" s="90">
        <v>935</v>
      </c>
      <c r="F33" s="90">
        <v>954</v>
      </c>
      <c r="G33" s="90">
        <v>970</v>
      </c>
      <c r="H33" s="90">
        <v>1191</v>
      </c>
      <c r="I33" s="91">
        <v>1288</v>
      </c>
      <c r="J33" s="91">
        <v>1290</v>
      </c>
      <c r="K33" s="91">
        <v>1277</v>
      </c>
      <c r="L33" s="91">
        <v>1217</v>
      </c>
      <c r="M33" s="91">
        <v>1249</v>
      </c>
      <c r="N33" s="89">
        <v>1295</v>
      </c>
      <c r="O33" s="879"/>
      <c r="P33" s="558" t="str">
        <f>IF(Contents!$B$2=2,"Yes","Да")</f>
        <v>Да</v>
      </c>
      <c r="Q33" s="164"/>
      <c r="R33" s="39"/>
      <c r="S33" s="39"/>
      <c r="T33" s="39"/>
      <c r="U33" s="39"/>
      <c r="W33" s="933">
        <v>1</v>
      </c>
      <c r="Y33" s="595"/>
    </row>
    <row r="34" spans="1:25" ht="22.5" customHeight="1">
      <c r="B34" s="207" t="str">
        <f>IF(Contents!$B$2=2,"St. Petersburg and Leningrad Region","Санкт-Петербург и Ленинградская область")</f>
        <v>Санкт-Петербург и Ленинградская область</v>
      </c>
      <c r="C34" s="53" t="str">
        <f>IF(Contents!$B$2=2,"people"," человек")</f>
        <v xml:space="preserve"> человек</v>
      </c>
      <c r="D34" s="90">
        <v>533</v>
      </c>
      <c r="E34" s="90">
        <v>546</v>
      </c>
      <c r="F34" s="90">
        <v>632</v>
      </c>
      <c r="G34" s="90">
        <v>803</v>
      </c>
      <c r="H34" s="90">
        <v>906</v>
      </c>
      <c r="I34" s="91">
        <v>978</v>
      </c>
      <c r="J34" s="91">
        <v>1115</v>
      </c>
      <c r="K34" s="91">
        <v>1246</v>
      </c>
      <c r="L34" s="91">
        <v>1320</v>
      </c>
      <c r="M34" s="91">
        <v>1380</v>
      </c>
      <c r="N34" s="89">
        <v>1468</v>
      </c>
      <c r="O34" s="879"/>
      <c r="P34" s="558" t="str">
        <f>IF(Contents!$B$2=2,"Yes","Да")</f>
        <v>Да</v>
      </c>
      <c r="Q34" s="164"/>
      <c r="R34" s="39"/>
      <c r="S34" s="39"/>
      <c r="T34" s="39"/>
      <c r="U34" s="39"/>
      <c r="W34" s="933">
        <v>1</v>
      </c>
      <c r="Y34" s="595"/>
    </row>
    <row r="35" spans="1:25" ht="22.5" customHeight="1">
      <c r="B35" s="285" t="str">
        <f>IF(Contents!$B$2=2,"Other regions","Прочие регионы")</f>
        <v>Прочие регионы</v>
      </c>
      <c r="C35" s="53" t="str">
        <f>IF(Contents!$B$2=2,"people"," человек")</f>
        <v xml:space="preserve"> человек</v>
      </c>
      <c r="D35" s="90">
        <v>846</v>
      </c>
      <c r="E35" s="90">
        <v>906</v>
      </c>
      <c r="F35" s="90">
        <v>995</v>
      </c>
      <c r="G35" s="90">
        <v>1178</v>
      </c>
      <c r="H35" s="90">
        <v>1403</v>
      </c>
      <c r="I35" s="91">
        <v>1809</v>
      </c>
      <c r="J35" s="91">
        <v>2188</v>
      </c>
      <c r="K35" s="91">
        <v>2766</v>
      </c>
      <c r="L35" s="91">
        <v>2728</v>
      </c>
      <c r="M35" s="91">
        <v>2996</v>
      </c>
      <c r="N35" s="89">
        <v>3099</v>
      </c>
      <c r="O35" s="879"/>
      <c r="P35" s="558" t="str">
        <f>IF(Contents!$B$2=2,"Yes","Да")</f>
        <v>Да</v>
      </c>
      <c r="Q35" s="164"/>
      <c r="R35" s="39"/>
      <c r="S35" s="39"/>
      <c r="T35" s="39"/>
      <c r="U35" s="39"/>
      <c r="W35" s="933">
        <v>1</v>
      </c>
      <c r="Y35" s="595"/>
    </row>
    <row r="36" spans="1:25" ht="22.5" hidden="1" customHeight="1" outlineLevel="1">
      <c r="A36" s="167"/>
      <c r="B36" s="367" t="str">
        <f>IF(Contents!$B$2=2,"Tyumen Region","Тюменская область")</f>
        <v>Тюменская область</v>
      </c>
      <c r="C36" s="53" t="str">
        <f>IF(Contents!$B$2=2,"people"," человек")</f>
        <v xml:space="preserve"> человек</v>
      </c>
      <c r="D36" s="90">
        <v>204</v>
      </c>
      <c r="E36" s="90">
        <v>214</v>
      </c>
      <c r="F36" s="90">
        <v>232</v>
      </c>
      <c r="G36" s="90">
        <v>300</v>
      </c>
      <c r="H36" s="90">
        <v>419</v>
      </c>
      <c r="I36" s="91">
        <v>546</v>
      </c>
      <c r="J36" s="91">
        <v>714</v>
      </c>
      <c r="K36" s="91">
        <v>797</v>
      </c>
      <c r="L36" s="91">
        <v>869</v>
      </c>
      <c r="M36" s="91">
        <v>943</v>
      </c>
      <c r="N36" s="89">
        <v>1070</v>
      </c>
      <c r="O36" s="879"/>
      <c r="P36" s="558" t="str">
        <f>IF(Contents!$B$2=2,"Yes","Да")</f>
        <v>Да</v>
      </c>
      <c r="Q36" s="164"/>
      <c r="R36" s="39"/>
      <c r="S36" s="39"/>
      <c r="T36" s="39"/>
      <c r="U36" s="39"/>
      <c r="W36" s="933">
        <v>1</v>
      </c>
      <c r="Y36" s="595"/>
    </row>
    <row r="37" spans="1:25" ht="22.5" hidden="1" customHeight="1" outlineLevel="1">
      <c r="A37" s="167"/>
      <c r="B37" s="367" t="str">
        <f>IF(Contents!$B$2=2,"Rostov Region","Ростовская область")</f>
        <v>Ростовская область</v>
      </c>
      <c r="C37" s="53" t="str">
        <f>IF(Contents!$B$2=2,"people"," человек")</f>
        <v xml:space="preserve"> человек</v>
      </c>
      <c r="D37" s="90">
        <v>189</v>
      </c>
      <c r="E37" s="90">
        <v>193</v>
      </c>
      <c r="F37" s="90">
        <v>208</v>
      </c>
      <c r="G37" s="90">
        <v>204</v>
      </c>
      <c r="H37" s="90">
        <v>202</v>
      </c>
      <c r="I37" s="91">
        <v>214</v>
      </c>
      <c r="J37" s="91">
        <v>208</v>
      </c>
      <c r="K37" s="91">
        <v>210</v>
      </c>
      <c r="L37" s="91">
        <v>190</v>
      </c>
      <c r="M37" s="91">
        <v>205</v>
      </c>
      <c r="N37" s="89">
        <v>207</v>
      </c>
      <c r="O37" s="879"/>
      <c r="P37" s="558" t="str">
        <f>IF(Contents!$B$2=2,"Yes","Да")</f>
        <v>Да</v>
      </c>
      <c r="Q37" s="164"/>
      <c r="R37" s="39"/>
      <c r="S37" s="39"/>
      <c r="T37" s="39"/>
      <c r="U37" s="39"/>
      <c r="W37" s="933">
        <v>1</v>
      </c>
      <c r="Y37" s="595"/>
    </row>
    <row r="38" spans="1:25" ht="22.5" hidden="1" customHeight="1" outlineLevel="1">
      <c r="A38" s="167"/>
      <c r="B38" s="367" t="str">
        <f>IF(Contents!$B$2=2,"Kostroma Region","Костромская область")</f>
        <v>Костромская область</v>
      </c>
      <c r="C38" s="53" t="str">
        <f>IF(Contents!$B$2=2,"people"," человек")</f>
        <v xml:space="preserve"> человек</v>
      </c>
      <c r="D38" s="90">
        <v>180</v>
      </c>
      <c r="E38" s="90">
        <v>188</v>
      </c>
      <c r="F38" s="90">
        <v>192</v>
      </c>
      <c r="G38" s="90">
        <v>197</v>
      </c>
      <c r="H38" s="90">
        <v>195</v>
      </c>
      <c r="I38" s="91">
        <v>202</v>
      </c>
      <c r="J38" s="91">
        <v>201</v>
      </c>
      <c r="K38" s="91">
        <v>201</v>
      </c>
      <c r="L38" s="91">
        <v>197</v>
      </c>
      <c r="M38" s="91">
        <v>195</v>
      </c>
      <c r="N38" s="89">
        <v>199</v>
      </c>
      <c r="O38" s="879"/>
      <c r="P38" s="558" t="str">
        <f>IF(Contents!$B$2=2,"Yes","Да")</f>
        <v>Да</v>
      </c>
      <c r="Q38" s="164"/>
      <c r="R38" s="39"/>
      <c r="S38" s="39"/>
      <c r="T38" s="39"/>
      <c r="U38" s="39"/>
      <c r="W38" s="933">
        <v>1</v>
      </c>
      <c r="Y38" s="595"/>
    </row>
    <row r="39" spans="1:25" ht="22.5" hidden="1" customHeight="1" outlineLevel="1">
      <c r="A39" s="167"/>
      <c r="B39" s="367" t="str">
        <f>IF(Contents!$B$2=2,"Volgograd Region","Волгоградская область")</f>
        <v>Волгоградская область</v>
      </c>
      <c r="C39" s="53" t="str">
        <f>IF(Contents!$B$2=2,"people"," человек")</f>
        <v xml:space="preserve"> человек</v>
      </c>
      <c r="D39" s="90">
        <v>197</v>
      </c>
      <c r="E39" s="90">
        <v>190</v>
      </c>
      <c r="F39" s="90">
        <v>181</v>
      </c>
      <c r="G39" s="90">
        <v>186</v>
      </c>
      <c r="H39" s="90">
        <v>191</v>
      </c>
      <c r="I39" s="91">
        <v>201</v>
      </c>
      <c r="J39" s="91">
        <v>203</v>
      </c>
      <c r="K39" s="91">
        <v>213</v>
      </c>
      <c r="L39" s="91">
        <v>206</v>
      </c>
      <c r="M39" s="91">
        <v>203</v>
      </c>
      <c r="N39" s="89">
        <v>212</v>
      </c>
      <c r="O39" s="879"/>
      <c r="P39" s="558" t="str">
        <f>IF(Contents!$B$2=2,"Yes","Да")</f>
        <v>Да</v>
      </c>
      <c r="Q39" s="164"/>
      <c r="R39" s="39"/>
      <c r="S39" s="39"/>
      <c r="T39" s="39"/>
      <c r="U39" s="39"/>
      <c r="W39" s="933">
        <v>1</v>
      </c>
      <c r="Y39" s="595"/>
    </row>
    <row r="40" spans="1:25" ht="22.5" hidden="1" customHeight="1" outlineLevel="1">
      <c r="A40" s="167"/>
      <c r="B40" s="367" t="str">
        <f>IF(Contents!$B$2=2,"Murmansk Region","Мурманская область")</f>
        <v>Мурманская область</v>
      </c>
      <c r="C40" s="53" t="str">
        <f>IF(Contents!$B$2=2,"people"," человек")</f>
        <v xml:space="preserve"> человек</v>
      </c>
      <c r="D40" s="90">
        <v>24</v>
      </c>
      <c r="E40" s="90">
        <v>68</v>
      </c>
      <c r="F40" s="90">
        <v>137</v>
      </c>
      <c r="G40" s="90">
        <v>172</v>
      </c>
      <c r="H40" s="90">
        <v>264</v>
      </c>
      <c r="I40" s="91">
        <v>474</v>
      </c>
      <c r="J40" s="91">
        <v>663</v>
      </c>
      <c r="K40" s="91">
        <v>1100</v>
      </c>
      <c r="L40" s="91">
        <v>959</v>
      </c>
      <c r="M40" s="91">
        <v>857</v>
      </c>
      <c r="N40" s="89">
        <v>775</v>
      </c>
      <c r="O40" s="879"/>
      <c r="P40" s="558" t="str">
        <f>IF(Contents!$B$2=2,"Yes","Да")</f>
        <v>Да</v>
      </c>
      <c r="Q40" s="164"/>
      <c r="R40" s="39"/>
      <c r="S40" s="39"/>
      <c r="T40" s="39"/>
      <c r="U40" s="39"/>
      <c r="W40" s="933">
        <v>1</v>
      </c>
      <c r="Y40" s="595"/>
    </row>
    <row r="41" spans="1:25" ht="22.5" hidden="1" customHeight="1" outlineLevel="1">
      <c r="A41" s="167"/>
      <c r="B41" s="367" t="str">
        <f>IF(Contents!$B$2=2,"Khanty-Mansiysk Autonomous Region","Ханты-Мансийский автономный округ")</f>
        <v>Ханты-Мансийский автономный округ</v>
      </c>
      <c r="C41" s="53" t="str">
        <f>IF(Contents!$B$2=2,"people"," человек")</f>
        <v xml:space="preserve"> человек</v>
      </c>
      <c r="D41" s="90">
        <v>0</v>
      </c>
      <c r="E41" s="90">
        <v>0</v>
      </c>
      <c r="F41" s="90">
        <v>0</v>
      </c>
      <c r="G41" s="90">
        <v>67</v>
      </c>
      <c r="H41" s="90">
        <v>65</v>
      </c>
      <c r="I41" s="91">
        <v>63</v>
      </c>
      <c r="J41" s="91">
        <v>64</v>
      </c>
      <c r="K41" s="91">
        <v>66</v>
      </c>
      <c r="L41" s="91">
        <v>63</v>
      </c>
      <c r="M41" s="91">
        <v>64</v>
      </c>
      <c r="N41" s="89">
        <v>61</v>
      </c>
      <c r="O41" s="879"/>
      <c r="P41" s="558" t="str">
        <f>IF(Contents!$B$2=2,"Yes","Да")</f>
        <v>Да</v>
      </c>
      <c r="Q41" s="164"/>
      <c r="R41" s="39"/>
      <c r="S41" s="39"/>
      <c r="T41" s="39"/>
      <c r="U41" s="39"/>
      <c r="W41" s="933">
        <v>1</v>
      </c>
      <c r="Y41" s="595"/>
    </row>
    <row r="42" spans="1:25" ht="22.5" hidden="1" customHeight="1" outlineLevel="1">
      <c r="A42" s="167"/>
      <c r="B42" s="367" t="str">
        <f>IF(Contents!$B$2=2,"Perm Territory","Пермский край")</f>
        <v>Пермский край</v>
      </c>
      <c r="C42" s="53" t="str">
        <f>IF(Contents!$B$2=2,"people"," человек")</f>
        <v xml:space="preserve"> человек</v>
      </c>
      <c r="D42" s="90">
        <v>19</v>
      </c>
      <c r="E42" s="90">
        <v>21</v>
      </c>
      <c r="F42" s="90">
        <v>21</v>
      </c>
      <c r="G42" s="90">
        <v>22</v>
      </c>
      <c r="H42" s="90">
        <v>21</v>
      </c>
      <c r="I42" s="91">
        <v>22</v>
      </c>
      <c r="J42" s="91">
        <v>23</v>
      </c>
      <c r="K42" s="91">
        <v>22</v>
      </c>
      <c r="L42" s="91">
        <v>22</v>
      </c>
      <c r="M42" s="91">
        <v>22</v>
      </c>
      <c r="N42" s="89">
        <v>22</v>
      </c>
      <c r="O42" s="879"/>
      <c r="P42" s="558" t="str">
        <f>IF(Contents!$B$2=2,"Yes","Да")</f>
        <v>Да</v>
      </c>
      <c r="Q42" s="164"/>
      <c r="R42" s="39"/>
      <c r="S42" s="39"/>
      <c r="T42" s="39"/>
      <c r="U42" s="39"/>
      <c r="W42" s="933">
        <v>1</v>
      </c>
      <c r="Y42" s="595"/>
    </row>
    <row r="43" spans="1:25" ht="22.5" hidden="1" customHeight="1" outlineLevel="1">
      <c r="A43" s="167"/>
      <c r="B43" s="367" t="str">
        <f>IF(Contents!$B$2=2,"Astrakhan Region","Астраханская область")</f>
        <v>Астраханская область</v>
      </c>
      <c r="C43" s="53" t="str">
        <f>IF(Contents!$B$2=2,"people"," человек")</f>
        <v xml:space="preserve"> человек</v>
      </c>
      <c r="D43" s="90">
        <v>21</v>
      </c>
      <c r="E43" s="90">
        <v>19</v>
      </c>
      <c r="F43" s="90">
        <v>18</v>
      </c>
      <c r="G43" s="90">
        <v>18</v>
      </c>
      <c r="H43" s="90">
        <v>19</v>
      </c>
      <c r="I43" s="91">
        <v>20</v>
      </c>
      <c r="J43" s="91">
        <v>20</v>
      </c>
      <c r="K43" s="91">
        <v>21</v>
      </c>
      <c r="L43" s="91">
        <v>24</v>
      </c>
      <c r="M43" s="91">
        <v>25</v>
      </c>
      <c r="N43" s="89">
        <v>25</v>
      </c>
      <c r="O43" s="879"/>
      <c r="P43" s="558" t="str">
        <f>IF(Contents!$B$2=2,"Yes","Да")</f>
        <v>Да</v>
      </c>
      <c r="Q43" s="164"/>
      <c r="R43" s="39"/>
      <c r="S43" s="39"/>
      <c r="T43" s="39"/>
      <c r="U43" s="39"/>
      <c r="W43" s="933">
        <v>1</v>
      </c>
      <c r="Y43" s="595"/>
    </row>
    <row r="44" spans="1:25" ht="22.5" hidden="1" customHeight="1" outlineLevel="1">
      <c r="A44" s="167"/>
      <c r="B44" s="367" t="str">
        <f>IF(Contents!$B$2=2,"Krasnodar Territory","Краснодарский край")</f>
        <v>Краснодарский край</v>
      </c>
      <c r="C44" s="53" t="str">
        <f>IF(Contents!$B$2=2,"people"," человек")</f>
        <v xml:space="preserve"> человек</v>
      </c>
      <c r="D44" s="90">
        <v>0</v>
      </c>
      <c r="E44" s="90">
        <v>0</v>
      </c>
      <c r="F44" s="90">
        <v>0</v>
      </c>
      <c r="G44" s="90">
        <v>4</v>
      </c>
      <c r="H44" s="90">
        <v>6</v>
      </c>
      <c r="I44" s="91">
        <v>7</v>
      </c>
      <c r="J44" s="91">
        <v>4</v>
      </c>
      <c r="K44" s="91">
        <v>7</v>
      </c>
      <c r="L44" s="91">
        <v>6</v>
      </c>
      <c r="M44" s="91">
        <v>0</v>
      </c>
      <c r="N44" s="89">
        <v>0</v>
      </c>
      <c r="O44" s="879"/>
      <c r="P44" s="558" t="str">
        <f>IF(Contents!$B$2=2,"Yes","Да")</f>
        <v>Да</v>
      </c>
      <c r="Q44" s="164"/>
      <c r="R44" s="39"/>
      <c r="S44" s="39"/>
      <c r="T44" s="39"/>
      <c r="U44" s="39"/>
      <c r="W44" s="933">
        <v>1</v>
      </c>
      <c r="Y44" s="595"/>
    </row>
    <row r="45" spans="1:25" ht="22.5" hidden="1" customHeight="1" outlineLevel="1">
      <c r="A45" s="167"/>
      <c r="B45" s="367" t="str">
        <f>IF(Contents!$B$2=2,"Samara Region","Самарская область")</f>
        <v>Самарская область</v>
      </c>
      <c r="C45" s="53" t="str">
        <f>IF(Contents!$B$2=2,"people"," человек")</f>
        <v xml:space="preserve"> человек</v>
      </c>
      <c r="D45" s="90">
        <v>1</v>
      </c>
      <c r="E45" s="90">
        <v>2</v>
      </c>
      <c r="F45" s="90">
        <v>3</v>
      </c>
      <c r="G45" s="90">
        <v>3</v>
      </c>
      <c r="H45" s="90">
        <v>5</v>
      </c>
      <c r="I45" s="91">
        <v>8</v>
      </c>
      <c r="J45" s="91">
        <v>18</v>
      </c>
      <c r="K45" s="91">
        <v>20</v>
      </c>
      <c r="L45" s="91">
        <v>25</v>
      </c>
      <c r="M45" s="91">
        <v>36</v>
      </c>
      <c r="N45" s="89">
        <v>37</v>
      </c>
      <c r="O45" s="879"/>
      <c r="P45" s="558" t="str">
        <f>IF(Contents!$B$2=2,"Yes","Да")</f>
        <v>Да</v>
      </c>
      <c r="Q45" s="164"/>
      <c r="R45" s="39"/>
      <c r="S45" s="39"/>
      <c r="T45" s="39"/>
      <c r="U45" s="39"/>
      <c r="W45" s="933">
        <v>1</v>
      </c>
      <c r="Y45" s="595"/>
    </row>
    <row r="46" spans="1:25" ht="22.5" hidden="1" customHeight="1" outlineLevel="1">
      <c r="A46" s="167"/>
      <c r="B46" s="367" t="str">
        <f>IF(Contents!$B$2=2,"Arkhangelsk Region","Архангельская область")</f>
        <v>Архангельская область</v>
      </c>
      <c r="C46" s="53" t="str">
        <f>IF(Contents!$B$2=2,"people"," человек")</f>
        <v xml:space="preserve"> человек</v>
      </c>
      <c r="D46" s="90">
        <v>3</v>
      </c>
      <c r="E46" s="90">
        <v>3</v>
      </c>
      <c r="F46" s="90">
        <v>3</v>
      </c>
      <c r="G46" s="90">
        <v>3</v>
      </c>
      <c r="H46" s="90">
        <v>3</v>
      </c>
      <c r="I46" s="91">
        <v>3</v>
      </c>
      <c r="J46" s="91">
        <v>4</v>
      </c>
      <c r="K46" s="91">
        <v>4</v>
      </c>
      <c r="L46" s="91">
        <v>6</v>
      </c>
      <c r="M46" s="91">
        <v>6</v>
      </c>
      <c r="N46" s="89">
        <v>5</v>
      </c>
      <c r="O46" s="879"/>
      <c r="P46" s="558" t="str">
        <f>IF(Contents!$B$2=2,"Yes","Да")</f>
        <v>Да</v>
      </c>
      <c r="Q46" s="164"/>
      <c r="R46" s="39"/>
      <c r="S46" s="39"/>
      <c r="T46" s="39"/>
      <c r="U46" s="39"/>
      <c r="W46" s="933">
        <v>1</v>
      </c>
      <c r="Y46" s="595"/>
    </row>
    <row r="47" spans="1:25" ht="22.5" hidden="1" customHeight="1" outlineLevel="1">
      <c r="A47" s="167"/>
      <c r="B47" s="367" t="str">
        <f>IF(Contents!$B$2=2,"Kamchatka Territory","Камчатский край")</f>
        <v>Камчатский край</v>
      </c>
      <c r="C47" s="53" t="str">
        <f>IF(Contents!$B$2=2,"people"," человек")</f>
        <v xml:space="preserve"> человек</v>
      </c>
      <c r="D47" s="90">
        <v>0</v>
      </c>
      <c r="E47" s="90">
        <v>0</v>
      </c>
      <c r="F47" s="90">
        <v>0</v>
      </c>
      <c r="G47" s="90">
        <v>2</v>
      </c>
      <c r="H47" s="90">
        <v>3</v>
      </c>
      <c r="I47" s="91">
        <v>4</v>
      </c>
      <c r="J47" s="91">
        <v>14</v>
      </c>
      <c r="K47" s="91">
        <v>27</v>
      </c>
      <c r="L47" s="91">
        <v>77</v>
      </c>
      <c r="M47" s="91">
        <v>89</v>
      </c>
      <c r="N47" s="89">
        <v>130</v>
      </c>
      <c r="O47" s="879"/>
      <c r="P47" s="558" t="str">
        <f>IF(Contents!$B$2=2,"Yes","Да")</f>
        <v>Да</v>
      </c>
      <c r="Q47" s="164"/>
      <c r="R47" s="39"/>
      <c r="S47" s="39"/>
      <c r="T47" s="39"/>
      <c r="U47" s="39"/>
      <c r="W47" s="933">
        <v>1</v>
      </c>
      <c r="Y47" s="595"/>
    </row>
    <row r="48" spans="1:25" ht="22.5" hidden="1" customHeight="1" outlineLevel="1">
      <c r="A48" s="167"/>
      <c r="B48" s="367" t="str">
        <f>IF(Contents!$B$2=2,"Republic of Bashkortostan","Республика Башкортостан")</f>
        <v>Республика Башкортостан</v>
      </c>
      <c r="C48" s="53" t="str">
        <f>IF(Contents!$B$2=2,"people"," человек")</f>
        <v xml:space="preserve"> человек</v>
      </c>
      <c r="D48" s="90">
        <v>0</v>
      </c>
      <c r="E48" s="90">
        <v>0</v>
      </c>
      <c r="F48" s="90">
        <v>0</v>
      </c>
      <c r="G48" s="90">
        <v>0</v>
      </c>
      <c r="H48" s="90">
        <v>9</v>
      </c>
      <c r="I48" s="91">
        <v>20</v>
      </c>
      <c r="J48" s="91">
        <v>17</v>
      </c>
      <c r="K48" s="91">
        <v>21</v>
      </c>
      <c r="L48" s="91">
        <v>19</v>
      </c>
      <c r="M48" s="91">
        <v>22</v>
      </c>
      <c r="N48" s="89">
        <v>21</v>
      </c>
      <c r="O48" s="879"/>
      <c r="P48" s="558" t="str">
        <f>IF(Contents!$B$2=2,"Yes","Да")</f>
        <v>Да</v>
      </c>
      <c r="Q48" s="164"/>
      <c r="R48" s="39"/>
      <c r="S48" s="39"/>
      <c r="T48" s="39"/>
      <c r="U48" s="39"/>
      <c r="W48" s="933">
        <v>1</v>
      </c>
      <c r="Y48" s="595"/>
    </row>
    <row r="49" spans="1:25" ht="22.5" hidden="1" customHeight="1" outlineLevel="1">
      <c r="A49" s="167"/>
      <c r="B49" s="367" t="str">
        <f>IF(Contents!$B$2=2,"Novosibirsk Region","Новосибирская область")</f>
        <v>Новосибирская область</v>
      </c>
      <c r="C49" s="53" t="str">
        <f>IF(Contents!$B$2=2,"people"," человек")</f>
        <v xml:space="preserve"> человек</v>
      </c>
      <c r="D49" s="90">
        <v>0</v>
      </c>
      <c r="E49" s="90">
        <v>0</v>
      </c>
      <c r="F49" s="90">
        <v>0</v>
      </c>
      <c r="G49" s="90">
        <v>0</v>
      </c>
      <c r="H49" s="90">
        <v>1</v>
      </c>
      <c r="I49" s="91">
        <v>1</v>
      </c>
      <c r="J49" s="91">
        <v>1</v>
      </c>
      <c r="K49" s="91">
        <v>0</v>
      </c>
      <c r="L49" s="91">
        <v>0</v>
      </c>
      <c r="M49" s="91">
        <v>0</v>
      </c>
      <c r="N49" s="89">
        <v>0</v>
      </c>
      <c r="O49" s="879"/>
      <c r="P49" s="558" t="str">
        <f>IF(Contents!$B$2=2,"Yes","Да")</f>
        <v>Да</v>
      </c>
      <c r="Q49" s="164"/>
      <c r="R49" s="39"/>
      <c r="S49" s="39"/>
      <c r="T49" s="39"/>
      <c r="U49" s="39"/>
      <c r="W49" s="933">
        <v>1</v>
      </c>
      <c r="Y49" s="595"/>
    </row>
    <row r="50" spans="1:25" ht="22.5" hidden="1" customHeight="1" outlineLevel="1">
      <c r="A50" s="167"/>
      <c r="B50" s="367" t="str">
        <f>IF(Contents!$B$2=2,"Stavropol Territory","Ставропольский край")</f>
        <v>Ставропольский край</v>
      </c>
      <c r="C50" s="53" t="str">
        <f>IF(Contents!$B$2=2,"people"," человек")</f>
        <v xml:space="preserve"> человек</v>
      </c>
      <c r="D50" s="90">
        <v>8</v>
      </c>
      <c r="E50" s="90">
        <v>8</v>
      </c>
      <c r="F50" s="90">
        <v>0</v>
      </c>
      <c r="G50" s="90">
        <v>0</v>
      </c>
      <c r="H50" s="90">
        <v>0</v>
      </c>
      <c r="I50" s="91">
        <v>0</v>
      </c>
      <c r="J50" s="91">
        <v>0</v>
      </c>
      <c r="K50" s="91">
        <v>0</v>
      </c>
      <c r="L50" s="91">
        <v>0</v>
      </c>
      <c r="M50" s="91">
        <v>0</v>
      </c>
      <c r="N50" s="89">
        <v>0</v>
      </c>
      <c r="O50" s="879"/>
      <c r="P50" s="558" t="str">
        <f>IF(Contents!$B$2=2,"Yes","Да")</f>
        <v>Да</v>
      </c>
      <c r="Q50" s="164"/>
      <c r="R50" s="39"/>
      <c r="S50" s="39"/>
      <c r="T50" s="39"/>
      <c r="U50" s="39"/>
      <c r="W50" s="933">
        <v>1</v>
      </c>
      <c r="Y50" s="595"/>
    </row>
    <row r="51" spans="1:25" ht="22.5" hidden="1" customHeight="1" outlineLevel="1">
      <c r="A51" s="167"/>
      <c r="B51" s="367" t="str">
        <f>IF(Contents!$B$2=2,"Sverdlovsk Region","Свердловская область")</f>
        <v>Свердловская область</v>
      </c>
      <c r="C51" s="53" t="str">
        <f>IF(Contents!$B$2=2,"people"," человек")</f>
        <v xml:space="preserve"> человек</v>
      </c>
      <c r="D51" s="90">
        <v>0</v>
      </c>
      <c r="E51" s="90">
        <v>0</v>
      </c>
      <c r="F51" s="90">
        <v>0</v>
      </c>
      <c r="G51" s="90">
        <v>0</v>
      </c>
      <c r="H51" s="90">
        <v>0</v>
      </c>
      <c r="I51" s="91">
        <v>10</v>
      </c>
      <c r="J51" s="91">
        <v>12</v>
      </c>
      <c r="K51" s="91">
        <v>20</v>
      </c>
      <c r="L51" s="91">
        <v>21</v>
      </c>
      <c r="M51" s="91">
        <v>15</v>
      </c>
      <c r="N51" s="89">
        <v>14</v>
      </c>
      <c r="O51" s="879"/>
      <c r="P51" s="558" t="str">
        <f>IF(Contents!$B$2=2,"Yes","Да")</f>
        <v>Да</v>
      </c>
      <c r="Q51" s="164"/>
      <c r="R51" s="39"/>
      <c r="S51" s="39"/>
      <c r="T51" s="39"/>
      <c r="U51" s="39"/>
      <c r="W51" s="933">
        <v>1</v>
      </c>
      <c r="Y51" s="595"/>
    </row>
    <row r="52" spans="1:25" ht="22.5" hidden="1" customHeight="1" outlineLevel="1">
      <c r="A52" s="167"/>
      <c r="B52" s="367" t="str">
        <f>IF(Contents!$B$2=2,"Tver region","Тверская область")</f>
        <v>Тверская область</v>
      </c>
      <c r="C52" s="53" t="str">
        <f>IF(Contents!$B$2=2,"people"," человек")</f>
        <v xml:space="preserve"> человек</v>
      </c>
      <c r="D52" s="90">
        <v>0</v>
      </c>
      <c r="E52" s="90">
        <v>0</v>
      </c>
      <c r="F52" s="90">
        <v>0</v>
      </c>
      <c r="G52" s="90">
        <v>0</v>
      </c>
      <c r="H52" s="90">
        <v>0</v>
      </c>
      <c r="I52" s="91">
        <v>6</v>
      </c>
      <c r="J52" s="91">
        <v>9</v>
      </c>
      <c r="K52" s="91">
        <v>9</v>
      </c>
      <c r="L52" s="91">
        <v>9</v>
      </c>
      <c r="M52" s="91">
        <v>9</v>
      </c>
      <c r="N52" s="89">
        <v>10</v>
      </c>
      <c r="O52" s="879"/>
      <c r="P52" s="558" t="str">
        <f>IF(Contents!$B$2=2,"Yes","Да")</f>
        <v>Да</v>
      </c>
      <c r="Q52" s="164"/>
      <c r="R52" s="39"/>
      <c r="S52" s="39"/>
      <c r="T52" s="39"/>
      <c r="U52" s="39"/>
      <c r="W52" s="933">
        <v>1</v>
      </c>
      <c r="Y52" s="595"/>
    </row>
    <row r="53" spans="1:25" ht="22.5" hidden="1" customHeight="1" outlineLevel="1">
      <c r="A53" s="167"/>
      <c r="B53" s="367" t="str">
        <f>IF(Contents!$B$2=2,"Tula Region","Тульская область")</f>
        <v>Тульская область</v>
      </c>
      <c r="C53" s="53" t="str">
        <f>IF(Contents!$B$2=2,"people"," человек")</f>
        <v xml:space="preserve"> человек</v>
      </c>
      <c r="D53" s="90">
        <v>0</v>
      </c>
      <c r="E53" s="90">
        <v>0</v>
      </c>
      <c r="F53" s="90">
        <v>0</v>
      </c>
      <c r="G53" s="90">
        <v>0</v>
      </c>
      <c r="H53" s="90">
        <v>0</v>
      </c>
      <c r="I53" s="91">
        <v>6</v>
      </c>
      <c r="J53" s="91">
        <v>7</v>
      </c>
      <c r="K53" s="91">
        <v>9</v>
      </c>
      <c r="L53" s="91">
        <v>10</v>
      </c>
      <c r="M53" s="91">
        <v>12</v>
      </c>
      <c r="N53" s="89">
        <v>13</v>
      </c>
      <c r="O53" s="879"/>
      <c r="P53" s="558" t="str">
        <f>IF(Contents!$B$2=2,"Yes","Да")</f>
        <v>Да</v>
      </c>
      <c r="Q53" s="164"/>
      <c r="R53" s="39"/>
      <c r="S53" s="39"/>
      <c r="T53" s="39"/>
      <c r="U53" s="39"/>
      <c r="W53" s="933">
        <v>1</v>
      </c>
      <c r="Y53" s="595"/>
    </row>
    <row r="54" spans="1:25" ht="22.5" hidden="1" customHeight="1" outlineLevel="1">
      <c r="A54" s="167"/>
      <c r="B54" s="367" t="str">
        <f>IF(Contents!$B$2=2,"Republic of Tatarstan","Республика Татарстан")</f>
        <v>Республика Татарстан</v>
      </c>
      <c r="C54" s="53" t="str">
        <f>IF(Contents!$B$2=2,"people"," человек")</f>
        <v xml:space="preserve"> человек</v>
      </c>
      <c r="D54" s="90">
        <v>0</v>
      </c>
      <c r="E54" s="90">
        <v>0</v>
      </c>
      <c r="F54" s="90">
        <v>0</v>
      </c>
      <c r="G54" s="90">
        <v>0</v>
      </c>
      <c r="H54" s="90">
        <v>0</v>
      </c>
      <c r="I54" s="91">
        <v>1</v>
      </c>
      <c r="J54" s="91">
        <v>6</v>
      </c>
      <c r="K54" s="91">
        <v>9</v>
      </c>
      <c r="L54" s="91">
        <v>9</v>
      </c>
      <c r="M54" s="91">
        <v>9</v>
      </c>
      <c r="N54" s="89">
        <v>6</v>
      </c>
      <c r="O54" s="879"/>
      <c r="P54" s="558" t="str">
        <f>IF(Contents!$B$2=2,"Yes","Да")</f>
        <v>Да</v>
      </c>
      <c r="Q54" s="164"/>
      <c r="R54" s="39"/>
      <c r="S54" s="39"/>
      <c r="T54" s="39"/>
      <c r="U54" s="39"/>
      <c r="W54" s="933">
        <v>1</v>
      </c>
      <c r="Y54" s="595"/>
    </row>
    <row r="55" spans="1:25" ht="22.5" hidden="1" customHeight="1" outlineLevel="1">
      <c r="A55" s="167"/>
      <c r="B55" s="367" t="str">
        <f>IF(Contents!$B$2=2,"Vladimir Region","Владимирская область")</f>
        <v>Владимирская область</v>
      </c>
      <c r="C55" s="53" t="str">
        <f>IF(Contents!$B$2=2,"people"," человек")</f>
        <v xml:space="preserve"> человек</v>
      </c>
      <c r="D55" s="90">
        <v>0</v>
      </c>
      <c r="E55" s="90">
        <v>0</v>
      </c>
      <c r="F55" s="90">
        <v>0</v>
      </c>
      <c r="G55" s="90">
        <v>0</v>
      </c>
      <c r="H55" s="90">
        <v>0</v>
      </c>
      <c r="I55" s="91">
        <v>0</v>
      </c>
      <c r="J55" s="91">
        <v>0</v>
      </c>
      <c r="K55" s="91">
        <v>10</v>
      </c>
      <c r="L55" s="91">
        <v>10</v>
      </c>
      <c r="M55" s="91">
        <v>10</v>
      </c>
      <c r="N55" s="89">
        <v>15</v>
      </c>
      <c r="O55" s="879"/>
      <c r="P55" s="558" t="str">
        <f>IF(Contents!$B$2=2,"Yes","Да")</f>
        <v>Да</v>
      </c>
      <c r="Q55" s="164"/>
      <c r="R55" s="39"/>
      <c r="S55" s="39"/>
      <c r="T55" s="39"/>
      <c r="U55" s="39"/>
      <c r="W55" s="933">
        <v>1</v>
      </c>
      <c r="Y55" s="595"/>
    </row>
    <row r="56" spans="1:25" ht="22.5" hidden="1" customHeight="1" outlineLevel="1">
      <c r="A56" s="167"/>
      <c r="B56" s="367" t="str">
        <f>IF(Contents!$B$2=2,"Penza Region","Пензенская область")</f>
        <v>Пензенская область</v>
      </c>
      <c r="C56" s="53" t="str">
        <f>IF(Contents!$B$2=2,"people"," человек")</f>
        <v xml:space="preserve"> человек</v>
      </c>
      <c r="D56" s="90">
        <v>0</v>
      </c>
      <c r="E56" s="90">
        <v>0</v>
      </c>
      <c r="F56" s="90">
        <v>0</v>
      </c>
      <c r="G56" s="90">
        <v>0</v>
      </c>
      <c r="H56" s="90">
        <v>0</v>
      </c>
      <c r="I56" s="91">
        <v>0</v>
      </c>
      <c r="J56" s="91">
        <v>0</v>
      </c>
      <c r="K56" s="91">
        <v>0</v>
      </c>
      <c r="L56" s="91">
        <v>6</v>
      </c>
      <c r="M56" s="91">
        <v>6</v>
      </c>
      <c r="N56" s="89">
        <v>6</v>
      </c>
      <c r="O56" s="879"/>
      <c r="P56" s="558" t="str">
        <f>IF(Contents!$B$2=2,"Yes","Да")</f>
        <v>Да</v>
      </c>
      <c r="Q56" s="164"/>
      <c r="R56" s="39"/>
      <c r="S56" s="39"/>
      <c r="T56" s="39"/>
      <c r="U56" s="39"/>
      <c r="W56" s="933">
        <v>1</v>
      </c>
      <c r="Y56" s="595"/>
    </row>
    <row r="57" spans="1:25" ht="22.5" hidden="1" customHeight="1" outlineLevel="1">
      <c r="A57" s="167"/>
      <c r="B57" s="368" t="str">
        <f>IF(Contents!$B$2=2,"Nizhny Novgorod region","Нижегородская область")</f>
        <v>Нижегородская область</v>
      </c>
      <c r="C57" s="53" t="str">
        <f>IF(Contents!$B$2=2,"people"," человек")</f>
        <v xml:space="preserve"> человек</v>
      </c>
      <c r="D57" s="90">
        <v>0</v>
      </c>
      <c r="E57" s="90">
        <v>0</v>
      </c>
      <c r="F57" s="90">
        <v>0</v>
      </c>
      <c r="G57" s="90">
        <v>0</v>
      </c>
      <c r="H57" s="90">
        <v>0</v>
      </c>
      <c r="I57" s="91">
        <v>0</v>
      </c>
      <c r="J57" s="91">
        <v>0</v>
      </c>
      <c r="K57" s="91">
        <v>0</v>
      </c>
      <c r="L57" s="91">
        <v>0</v>
      </c>
      <c r="M57" s="91">
        <v>6</v>
      </c>
      <c r="N57" s="89">
        <v>6</v>
      </c>
      <c r="O57" s="879"/>
      <c r="P57" s="558" t="str">
        <f>IF(Contents!$B$2=2,"Yes","Да")</f>
        <v>Да</v>
      </c>
      <c r="Q57" s="164"/>
      <c r="R57" s="39"/>
      <c r="S57" s="39"/>
      <c r="T57" s="39"/>
      <c r="U57" s="39"/>
      <c r="W57" s="933">
        <v>1</v>
      </c>
      <c r="Y57" s="595"/>
    </row>
    <row r="58" spans="1:25" ht="22.5" hidden="1" customHeight="1" outlineLevel="1">
      <c r="A58" s="167"/>
      <c r="B58" s="368" t="str">
        <f>IF(Contents!$B$2=2,"Primorsky Krai","Приморский край")</f>
        <v>Приморский край</v>
      </c>
      <c r="C58" s="53" t="str">
        <f>IF(Contents!$B$2=2,"people"," человек")</f>
        <v xml:space="preserve"> человек</v>
      </c>
      <c r="D58" s="90">
        <v>0</v>
      </c>
      <c r="E58" s="90">
        <v>0</v>
      </c>
      <c r="F58" s="90">
        <v>0</v>
      </c>
      <c r="G58" s="90">
        <v>0</v>
      </c>
      <c r="H58" s="90">
        <v>0</v>
      </c>
      <c r="I58" s="91">
        <v>0</v>
      </c>
      <c r="J58" s="91">
        <v>0</v>
      </c>
      <c r="K58" s="91">
        <v>0</v>
      </c>
      <c r="L58" s="91">
        <v>0</v>
      </c>
      <c r="M58" s="91">
        <v>262</v>
      </c>
      <c r="N58" s="89">
        <v>256</v>
      </c>
      <c r="O58" s="879"/>
      <c r="P58" s="558" t="str">
        <f>IF(Contents!$B$2=2,"Yes","Да")</f>
        <v>Да</v>
      </c>
      <c r="Q58" s="164"/>
      <c r="R58" s="39"/>
      <c r="S58" s="39"/>
      <c r="T58" s="39"/>
      <c r="U58" s="39"/>
      <c r="W58" s="933">
        <v>1</v>
      </c>
      <c r="Y58" s="595"/>
    </row>
    <row r="59" spans="1:25" ht="22.5" hidden="1" customHeight="1" outlineLevel="1">
      <c r="A59" s="167"/>
      <c r="B59" s="368" t="str">
        <f>IF(Contents!$B$2=2,"Republic of Mari El","Республика Марий Эл")</f>
        <v>Республика Марий Эл</v>
      </c>
      <c r="C59" s="53" t="str">
        <f>IF(Contents!$B$2=2,"people"," человек")</f>
        <v xml:space="preserve"> человек</v>
      </c>
      <c r="D59" s="90">
        <v>0</v>
      </c>
      <c r="E59" s="90">
        <v>0</v>
      </c>
      <c r="F59" s="90">
        <v>0</v>
      </c>
      <c r="G59" s="90">
        <v>0</v>
      </c>
      <c r="H59" s="90">
        <v>0</v>
      </c>
      <c r="I59" s="91">
        <v>1</v>
      </c>
      <c r="J59" s="91">
        <v>0</v>
      </c>
      <c r="K59" s="91">
        <v>0</v>
      </c>
      <c r="L59" s="91">
        <v>0</v>
      </c>
      <c r="M59" s="91">
        <v>0</v>
      </c>
      <c r="N59" s="89">
        <v>0</v>
      </c>
      <c r="O59" s="879"/>
      <c r="P59" s="558" t="str">
        <f>IF(Contents!$B$2=2,"Yes","Да")</f>
        <v>Да</v>
      </c>
      <c r="Q59" s="164"/>
      <c r="R59" s="39"/>
      <c r="S59" s="39"/>
      <c r="T59" s="39"/>
      <c r="U59" s="39"/>
      <c r="W59" s="933">
        <v>1</v>
      </c>
      <c r="Y59" s="595"/>
    </row>
    <row r="60" spans="1:25" ht="22.5" hidden="1" customHeight="1" outlineLevel="1">
      <c r="B60" s="368" t="str">
        <f>IF(Contents!$B$2=2,"Chuvash Republic","Чувашская республика")</f>
        <v>Чувашская республика</v>
      </c>
      <c r="C60" s="53" t="str">
        <f>IF(Contents!$B$2=2,"people"," человек")</f>
        <v xml:space="preserve"> человек</v>
      </c>
      <c r="D60" s="46" t="s">
        <v>185</v>
      </c>
      <c r="E60" s="46" t="s">
        <v>185</v>
      </c>
      <c r="F60" s="90" t="s">
        <v>185</v>
      </c>
      <c r="G60" s="90" t="s">
        <v>185</v>
      </c>
      <c r="H60" s="90" t="s">
        <v>185</v>
      </c>
      <c r="I60" s="46" t="s">
        <v>185</v>
      </c>
      <c r="J60" s="46" t="s">
        <v>185</v>
      </c>
      <c r="K60" s="46" t="s">
        <v>185</v>
      </c>
      <c r="L60" s="46" t="s">
        <v>185</v>
      </c>
      <c r="M60" s="46" t="s">
        <v>185</v>
      </c>
      <c r="N60" s="89">
        <v>9</v>
      </c>
      <c r="O60" s="879"/>
      <c r="P60" s="558" t="str">
        <f>IF(Contents!$B$2=2,"No","Нет")</f>
        <v>Нет</v>
      </c>
      <c r="Q60" s="164"/>
      <c r="R60" s="39"/>
      <c r="S60" s="39"/>
      <c r="T60" s="39"/>
      <c r="U60" s="39"/>
      <c r="W60" s="933">
        <v>1</v>
      </c>
      <c r="Y60" s="595"/>
    </row>
    <row r="61" spans="1:25" ht="22.5" customHeight="1" collapsed="1">
      <c r="A61" s="167"/>
      <c r="B61" s="78" t="str">
        <f>IF(Contents!$B$2=2,"Other countries","Прочие страны")</f>
        <v>Прочие страны</v>
      </c>
      <c r="C61" s="53" t="str">
        <f>IF(Contents!$B$2=2,"people"," человек")</f>
        <v xml:space="preserve"> человек</v>
      </c>
      <c r="D61" s="90">
        <v>101</v>
      </c>
      <c r="E61" s="90">
        <v>109</v>
      </c>
      <c r="F61" s="90">
        <v>134</v>
      </c>
      <c r="G61" s="90">
        <v>162</v>
      </c>
      <c r="H61" s="90">
        <v>206</v>
      </c>
      <c r="I61" s="91">
        <v>233</v>
      </c>
      <c r="J61" s="91">
        <v>265</v>
      </c>
      <c r="K61" s="91">
        <v>122</v>
      </c>
      <c r="L61" s="91">
        <v>131</v>
      </c>
      <c r="M61" s="91">
        <v>159</v>
      </c>
      <c r="N61" s="89">
        <v>165</v>
      </c>
      <c r="O61" s="879"/>
      <c r="P61" s="558" t="str">
        <f>IF(Contents!$B$2=2,"Yes","Да")</f>
        <v>Да</v>
      </c>
      <c r="Q61" s="164"/>
      <c r="R61" s="39"/>
      <c r="S61" s="39"/>
      <c r="T61" s="39"/>
      <c r="U61" s="39"/>
      <c r="W61" s="933">
        <v>1</v>
      </c>
      <c r="Y61" s="595"/>
    </row>
    <row r="62" spans="1:25" ht="22.5" customHeight="1">
      <c r="B62" s="23" t="str">
        <f>IF(Contents!$B$2=2,"by line of work","по виду деятельности")</f>
        <v>по виду деятельности</v>
      </c>
      <c r="C62" s="77"/>
      <c r="D62" s="111"/>
      <c r="E62" s="111"/>
      <c r="F62" s="111"/>
      <c r="G62" s="111"/>
      <c r="H62" s="111"/>
      <c r="I62" s="85"/>
      <c r="J62" s="111"/>
      <c r="K62" s="111"/>
      <c r="L62" s="111"/>
      <c r="M62" s="111"/>
      <c r="N62" s="111"/>
      <c r="O62" s="37"/>
      <c r="P62" s="39"/>
      <c r="Q62" s="164"/>
      <c r="R62" s="39" t="s">
        <v>125</v>
      </c>
      <c r="S62" s="39"/>
      <c r="T62" s="39"/>
      <c r="U62" s="39"/>
      <c r="Y62" s="595"/>
    </row>
    <row r="63" spans="1:25" ht="22.5" customHeight="1">
      <c r="B63" s="78" t="str">
        <f>IF(Contents!$B$2=2,"Exploration and production (incl. LNG)","Разведка и добыча (в т.ч. СПГ)")</f>
        <v>Разведка и добыча (в т.ч. СПГ)</v>
      </c>
      <c r="C63" s="53" t="s">
        <v>0</v>
      </c>
      <c r="D63" s="81">
        <v>59</v>
      </c>
      <c r="E63" s="81">
        <v>58</v>
      </c>
      <c r="F63" s="81">
        <v>57</v>
      </c>
      <c r="G63" s="81">
        <v>58</v>
      </c>
      <c r="H63" s="81">
        <v>59</v>
      </c>
      <c r="I63" s="82">
        <v>59</v>
      </c>
      <c r="J63" s="82">
        <v>58</v>
      </c>
      <c r="K63" s="82">
        <v>58</v>
      </c>
      <c r="L63" s="82">
        <v>59</v>
      </c>
      <c r="M63" s="82">
        <v>58</v>
      </c>
      <c r="N63" s="89">
        <v>53</v>
      </c>
      <c r="O63" s="879"/>
      <c r="P63" s="558" t="str">
        <f>IF(Contents!$B$2=2,"Yes","Да")</f>
        <v>Да</v>
      </c>
      <c r="Q63" s="164"/>
      <c r="R63" s="39"/>
      <c r="S63" s="39"/>
      <c r="T63" s="39"/>
      <c r="U63" s="39"/>
      <c r="W63" s="933">
        <v>1</v>
      </c>
      <c r="Y63" s="595"/>
    </row>
    <row r="64" spans="1:25" ht="22.5" customHeight="1">
      <c r="B64" s="78" t="str">
        <f>IF(Contents!$B$2=2,"Marketing and transportation","Реализация и транспортировка")</f>
        <v>Реализация и транспортировка</v>
      </c>
      <c r="C64" s="53" t="s">
        <v>0</v>
      </c>
      <c r="D64" s="81">
        <v>19</v>
      </c>
      <c r="E64" s="81">
        <v>20</v>
      </c>
      <c r="F64" s="81">
        <v>19</v>
      </c>
      <c r="G64" s="81">
        <v>18</v>
      </c>
      <c r="H64" s="81">
        <v>18</v>
      </c>
      <c r="I64" s="82">
        <v>17</v>
      </c>
      <c r="J64" s="82">
        <v>18</v>
      </c>
      <c r="K64" s="82">
        <v>17</v>
      </c>
      <c r="L64" s="82">
        <v>16</v>
      </c>
      <c r="M64" s="82">
        <v>16</v>
      </c>
      <c r="N64" s="89">
        <v>15</v>
      </c>
      <c r="O64" s="879"/>
      <c r="P64" s="558" t="str">
        <f>IF(Contents!$B$2=2,"Yes","Да")</f>
        <v>Да</v>
      </c>
      <c r="Q64" s="164"/>
      <c r="R64" s="39"/>
      <c r="S64" s="39"/>
      <c r="T64" s="39"/>
      <c r="U64" s="39"/>
      <c r="W64" s="933">
        <v>1</v>
      </c>
      <c r="Y64" s="595"/>
    </row>
    <row r="65" spans="2:25" ht="22.5" customHeight="1">
      <c r="B65" s="78" t="str">
        <f>IF(Contents!$B$2=2,"Processing","Переработка")</f>
        <v>Переработка</v>
      </c>
      <c r="C65" s="53" t="s">
        <v>0</v>
      </c>
      <c r="D65" s="81">
        <v>12</v>
      </c>
      <c r="E65" s="81">
        <v>11</v>
      </c>
      <c r="F65" s="81">
        <v>11</v>
      </c>
      <c r="G65" s="81">
        <v>11</v>
      </c>
      <c r="H65" s="81">
        <v>9</v>
      </c>
      <c r="I65" s="82">
        <v>8</v>
      </c>
      <c r="J65" s="82">
        <v>8</v>
      </c>
      <c r="K65" s="82">
        <v>8</v>
      </c>
      <c r="L65" s="82">
        <v>8</v>
      </c>
      <c r="M65" s="82">
        <v>7</v>
      </c>
      <c r="N65" s="89">
        <v>7</v>
      </c>
      <c r="O65" s="879"/>
      <c r="P65" s="558" t="str">
        <f>IF(Contents!$B$2=2,"Yes","Да")</f>
        <v>Да</v>
      </c>
      <c r="Q65" s="164"/>
      <c r="R65" s="39"/>
      <c r="S65" s="39"/>
      <c r="T65" s="39"/>
      <c r="U65" s="39"/>
      <c r="W65" s="933">
        <v>1</v>
      </c>
      <c r="Y65" s="595"/>
    </row>
    <row r="66" spans="2:25" ht="22.5" customHeight="1">
      <c r="B66" s="78" t="str">
        <f>IF(Contents!$B$2=2,"Administrative personnel","Административный персонал")</f>
        <v>Административный персонал</v>
      </c>
      <c r="C66" s="53" t="s">
        <v>0</v>
      </c>
      <c r="D66" s="81">
        <v>6</v>
      </c>
      <c r="E66" s="81">
        <v>6</v>
      </c>
      <c r="F66" s="81">
        <v>7</v>
      </c>
      <c r="G66" s="81">
        <v>7</v>
      </c>
      <c r="H66" s="81">
        <v>6</v>
      </c>
      <c r="I66" s="82">
        <v>6</v>
      </c>
      <c r="J66" s="82">
        <v>6</v>
      </c>
      <c r="K66" s="82">
        <v>6</v>
      </c>
      <c r="L66" s="82">
        <v>6</v>
      </c>
      <c r="M66" s="82">
        <v>6</v>
      </c>
      <c r="N66" s="89">
        <v>6</v>
      </c>
      <c r="O66" s="879"/>
      <c r="P66" s="558" t="str">
        <f>IF(Contents!$B$2=2,"Yes","Да")</f>
        <v>Да</v>
      </c>
      <c r="Q66" s="164"/>
      <c r="R66" s="39"/>
      <c r="S66" s="39"/>
      <c r="T66" s="39"/>
      <c r="U66" s="39"/>
      <c r="W66" s="933">
        <v>1</v>
      </c>
      <c r="Y66" s="595"/>
    </row>
    <row r="67" spans="2:25" ht="22.5" customHeight="1">
      <c r="B67" s="78" t="str">
        <f>IF(Contents!$B$2=2,"Power supply","Энергообеспечение")</f>
        <v>Энергообеспечение</v>
      </c>
      <c r="C67" s="53" t="s">
        <v>0</v>
      </c>
      <c r="D67" s="81">
        <v>0</v>
      </c>
      <c r="E67" s="81">
        <v>4</v>
      </c>
      <c r="F67" s="81">
        <v>5</v>
      </c>
      <c r="G67" s="81">
        <v>5</v>
      </c>
      <c r="H67" s="81">
        <v>6</v>
      </c>
      <c r="I67" s="82">
        <v>7</v>
      </c>
      <c r="J67" s="82">
        <v>7</v>
      </c>
      <c r="K67" s="82">
        <v>8</v>
      </c>
      <c r="L67" s="82">
        <v>8</v>
      </c>
      <c r="M67" s="82">
        <v>9</v>
      </c>
      <c r="N67" s="89">
        <v>9</v>
      </c>
      <c r="O67" s="879"/>
      <c r="P67" s="558" t="str">
        <f>IF(Contents!$B$2=2,"Yes","Да")</f>
        <v>Да</v>
      </c>
      <c r="Q67" s="164"/>
      <c r="R67" s="39"/>
      <c r="S67" s="39"/>
      <c r="T67" s="39"/>
      <c r="U67" s="39"/>
      <c r="W67" s="933">
        <v>1</v>
      </c>
      <c r="Y67" s="595"/>
    </row>
    <row r="68" spans="2:25" ht="22.5" customHeight="1">
      <c r="B68" s="78" t="str">
        <f>IF(Contents!$B$2=2,"Auxiliary services","Вспомогательное производство")</f>
        <v>Вспомогательное производство</v>
      </c>
      <c r="C68" s="53" t="s">
        <v>0</v>
      </c>
      <c r="D68" s="81">
        <v>4</v>
      </c>
      <c r="E68" s="81">
        <v>1</v>
      </c>
      <c r="F68" s="81">
        <v>1</v>
      </c>
      <c r="G68" s="81">
        <v>1</v>
      </c>
      <c r="H68" s="81">
        <v>2</v>
      </c>
      <c r="I68" s="82">
        <v>3</v>
      </c>
      <c r="J68" s="82">
        <v>3</v>
      </c>
      <c r="K68" s="82">
        <v>3</v>
      </c>
      <c r="L68" s="82">
        <v>3</v>
      </c>
      <c r="M68" s="82">
        <v>4</v>
      </c>
      <c r="N68" s="89">
        <v>10</v>
      </c>
      <c r="O68" s="879"/>
      <c r="P68" s="558" t="str">
        <f>IF(Contents!$B$2=2,"Yes","Да")</f>
        <v>Да</v>
      </c>
      <c r="Q68" s="164"/>
      <c r="R68" s="39"/>
      <c r="S68" s="39"/>
      <c r="T68" s="39"/>
      <c r="U68" s="39"/>
      <c r="V68" s="597"/>
      <c r="W68" s="933">
        <v>1</v>
      </c>
      <c r="X68" s="597"/>
      <c r="Y68" s="595"/>
    </row>
    <row r="69" spans="2:25" ht="22.5" customHeight="1">
      <c r="B69" s="78"/>
      <c r="C69" s="53"/>
      <c r="D69" s="46"/>
      <c r="E69" s="46"/>
      <c r="F69" s="46"/>
      <c r="G69" s="46"/>
      <c r="H69" s="46"/>
      <c r="I69" s="38"/>
      <c r="J69" s="38"/>
      <c r="K69" s="369">
        <f>SUM(K31:K35)</f>
        <v>19448</v>
      </c>
      <c r="L69" s="38"/>
      <c r="M69" s="38"/>
      <c r="N69" s="38"/>
      <c r="O69" s="29"/>
      <c r="P69" s="39"/>
      <c r="Q69" s="29"/>
      <c r="R69" s="681"/>
      <c r="S69" s="39"/>
      <c r="T69" s="39"/>
      <c r="U69" s="39"/>
      <c r="V69" s="597"/>
      <c r="W69" s="934"/>
      <c r="X69" s="597"/>
      <c r="Y69" s="595"/>
    </row>
    <row r="70" spans="2:25" ht="20.100000000000001" customHeight="1">
      <c r="B70" s="25" t="str">
        <f>IF(Contents!$B$2=2,"Notes:","Примечания: ")</f>
        <v xml:space="preserve">Примечания: </v>
      </c>
      <c r="C70" s="61"/>
      <c r="D70" s="108"/>
      <c r="E70" s="108"/>
      <c r="F70" s="108"/>
      <c r="G70" s="108"/>
      <c r="H70" s="108"/>
      <c r="I70" s="108"/>
      <c r="J70" s="108"/>
      <c r="K70" s="108"/>
      <c r="L70" s="108"/>
      <c r="M70" s="108"/>
      <c r="N70" s="109"/>
      <c r="O70" s="38"/>
      <c r="P70" s="558"/>
      <c r="Q70" s="38"/>
      <c r="R70" s="39"/>
      <c r="S70" s="39"/>
      <c r="T70" s="39"/>
      <c r="U70" s="39"/>
    </row>
    <row r="71" spans="2:25" ht="20.45" customHeight="1">
      <c r="B71" s="65" t="str">
        <f>IF(Contents!$B$2=2,"Since 2022, senior managers and middle managers are combined and summed up according to this indicator. Until 2021, there was a breakdown by senior and middle managers.","С 2022 года руководители высшего звена и руководители среднего звена объединяются и суммируются по данному показателю. До 2021 года была разбивка по руководителям высшего и среднего звеньев.")</f>
        <v>С 2022 года руководители высшего звена и руководители среднего звена объединяются и суммируются по данному показателю. До 2021 года была разбивка по руководителям высшего и среднего звеньев.</v>
      </c>
      <c r="C71" s="301"/>
      <c r="D71" s="370"/>
      <c r="E71" s="370"/>
      <c r="F71" s="370"/>
      <c r="G71" s="370"/>
      <c r="H71" s="370"/>
      <c r="I71" s="370"/>
      <c r="J71" s="370"/>
      <c r="K71" s="370"/>
      <c r="L71" s="370"/>
      <c r="M71" s="370"/>
      <c r="N71" s="370"/>
      <c r="O71" s="29"/>
      <c r="P71" s="558"/>
      <c r="Q71" s="29"/>
      <c r="R71" s="39"/>
      <c r="S71" s="39"/>
      <c r="T71" s="39"/>
      <c r="U71" s="39"/>
    </row>
    <row r="72" spans="2:25">
      <c r="B72" s="65"/>
      <c r="C72" s="301"/>
      <c r="D72" s="370"/>
      <c r="E72" s="370"/>
      <c r="F72" s="370"/>
      <c r="G72" s="370"/>
      <c r="H72" s="370"/>
      <c r="I72" s="370"/>
      <c r="J72" s="370"/>
      <c r="K72" s="370"/>
      <c r="L72" s="370"/>
      <c r="M72" s="370"/>
      <c r="N72" s="370"/>
      <c r="O72" s="29"/>
      <c r="P72" s="558"/>
      <c r="Q72" s="29"/>
      <c r="R72" s="39"/>
      <c r="S72" s="39"/>
      <c r="T72" s="39"/>
      <c r="U72" s="39"/>
    </row>
    <row r="73" spans="2:25" ht="34.5" customHeight="1">
      <c r="B73" s="371" t="str">
        <f>IF(Contents!$B$2=2,"Average headcount","Среднесписочная численность работников")</f>
        <v>Среднесписочная численность работников</v>
      </c>
      <c r="C73" s="49" t="str">
        <f>IF(Contents!$B$2=2,"people"," человек")</f>
        <v xml:space="preserve"> человек</v>
      </c>
      <c r="D73" s="372" t="s">
        <v>185</v>
      </c>
      <c r="E73" s="372" t="s">
        <v>185</v>
      </c>
      <c r="F73" s="372">
        <v>11660.1</v>
      </c>
      <c r="G73" s="372">
        <v>13036</v>
      </c>
      <c r="H73" s="372">
        <v>14311</v>
      </c>
      <c r="I73" s="372">
        <v>15914</v>
      </c>
      <c r="J73" s="372">
        <v>17366</v>
      </c>
      <c r="K73" s="372">
        <v>18731</v>
      </c>
      <c r="L73" s="372">
        <v>19846</v>
      </c>
      <c r="M73" s="372">
        <v>21157</v>
      </c>
      <c r="N73" s="372">
        <v>22623.015365130574</v>
      </c>
      <c r="O73" s="879"/>
      <c r="P73" s="558"/>
      <c r="Q73" s="29"/>
      <c r="R73" s="39" t="s">
        <v>122</v>
      </c>
      <c r="S73" s="39"/>
      <c r="T73" s="39"/>
      <c r="U73" s="39" t="str">
        <f>IF(Contents!$B$2=2,"PBCS 21","СОКБ 21")</f>
        <v>СОКБ 21</v>
      </c>
      <c r="W73" s="933">
        <v>1</v>
      </c>
      <c r="X73" s="558"/>
      <c r="Y73" s="595"/>
    </row>
    <row r="74" spans="2:25" ht="22.5" customHeight="1">
      <c r="B74" s="364" t="str">
        <f>IF(Contents!$B$2=2,"by gender","по полу")</f>
        <v>по полу</v>
      </c>
      <c r="C74" s="77"/>
      <c r="D74" s="111"/>
      <c r="E74" s="111"/>
      <c r="F74" s="111"/>
      <c r="G74" s="111"/>
      <c r="H74" s="111"/>
      <c r="I74" s="111"/>
      <c r="J74" s="111"/>
      <c r="K74" s="111"/>
      <c r="L74" s="111"/>
      <c r="M74" s="111"/>
      <c r="N74" s="111"/>
      <c r="O74" s="37"/>
      <c r="P74" s="558"/>
      <c r="Q74" s="29"/>
      <c r="R74" s="39"/>
      <c r="S74" s="39"/>
      <c r="T74" s="39"/>
      <c r="U74" s="39"/>
      <c r="Y74" s="595"/>
    </row>
    <row r="75" spans="2:25" ht="22.5" customHeight="1">
      <c r="B75" s="93" t="str">
        <f>IF(Contents!$B$2=2,"Male","Мужчины")</f>
        <v>Мужчины</v>
      </c>
      <c r="C75" s="53" t="str">
        <f>IF(Contents!$B$2=2,"people"," человек")</f>
        <v xml:space="preserve"> человек</v>
      </c>
      <c r="D75" s="46" t="s">
        <v>185</v>
      </c>
      <c r="E75" s="46" t="s">
        <v>185</v>
      </c>
      <c r="F75" s="46">
        <v>8958</v>
      </c>
      <c r="G75" s="46">
        <v>10102</v>
      </c>
      <c r="H75" s="46">
        <v>11145</v>
      </c>
      <c r="I75" s="46">
        <v>12440</v>
      </c>
      <c r="J75" s="46">
        <v>13714</v>
      </c>
      <c r="K75" s="38">
        <v>14893</v>
      </c>
      <c r="L75" s="38">
        <v>15828</v>
      </c>
      <c r="M75" s="38">
        <v>17014</v>
      </c>
      <c r="N75" s="89">
        <v>18410.280899180754</v>
      </c>
      <c r="O75" s="879"/>
      <c r="P75" s="558"/>
      <c r="Q75" s="29"/>
      <c r="R75" s="39"/>
      <c r="S75" s="39"/>
      <c r="T75" s="39"/>
      <c r="U75" s="39"/>
      <c r="W75" s="933">
        <v>1</v>
      </c>
      <c r="Y75" s="595"/>
    </row>
    <row r="76" spans="2:25" ht="22.5" customHeight="1">
      <c r="B76" s="93" t="str">
        <f>IF(Contents!$B$2=2,"Female","Женщины")</f>
        <v>Женщины</v>
      </c>
      <c r="C76" s="53" t="str">
        <f>IF(Contents!$B$2=2,"people"," человек")</f>
        <v xml:space="preserve"> человек</v>
      </c>
      <c r="D76" s="46" t="s">
        <v>185</v>
      </c>
      <c r="E76" s="46" t="s">
        <v>185</v>
      </c>
      <c r="F76" s="46">
        <v>2702.1</v>
      </c>
      <c r="G76" s="46">
        <v>2934</v>
      </c>
      <c r="H76" s="46">
        <v>3166</v>
      </c>
      <c r="I76" s="46">
        <v>3474</v>
      </c>
      <c r="J76" s="46">
        <v>3652</v>
      </c>
      <c r="K76" s="38">
        <v>3838</v>
      </c>
      <c r="L76" s="38">
        <v>4018</v>
      </c>
      <c r="M76" s="38">
        <v>4143</v>
      </c>
      <c r="N76" s="89">
        <v>4212.7344659498212</v>
      </c>
      <c r="O76" s="879"/>
      <c r="P76" s="558"/>
      <c r="Q76" s="29"/>
      <c r="R76" s="39"/>
      <c r="S76" s="39"/>
      <c r="T76" s="39"/>
      <c r="U76" s="39"/>
      <c r="W76" s="933">
        <v>1</v>
      </c>
      <c r="Y76" s="595"/>
    </row>
    <row r="77" spans="2:25" ht="22.5" customHeight="1">
      <c r="B77" s="23" t="str">
        <f>IF(Contents!$B$2=2,"by region","по региону")</f>
        <v>по региону</v>
      </c>
      <c r="C77" s="77"/>
      <c r="D77" s="111"/>
      <c r="E77" s="111"/>
      <c r="F77" s="111"/>
      <c r="G77" s="111"/>
      <c r="H77" s="111"/>
      <c r="I77" s="366"/>
      <c r="J77" s="111"/>
      <c r="K77" s="111"/>
      <c r="L77" s="111"/>
      <c r="M77" s="111"/>
      <c r="N77" s="111"/>
      <c r="O77" s="37"/>
      <c r="P77" s="558"/>
      <c r="Q77" s="29"/>
      <c r="R77" s="39"/>
      <c r="S77" s="39"/>
      <c r="T77" s="39"/>
      <c r="U77" s="39"/>
      <c r="Y77" s="595"/>
    </row>
    <row r="78" spans="2:25" ht="22.5" customHeight="1">
      <c r="B78" s="177" t="str">
        <f>IF(Contents!$B$2=2,"Russian Federation","Российская Федерация")</f>
        <v>Российская Федерация</v>
      </c>
      <c r="C78" s="53" t="str">
        <f>IF(Contents!$B$2=2,"people"," человек")</f>
        <v xml:space="preserve"> человек</v>
      </c>
      <c r="D78" s="46" t="s">
        <v>185</v>
      </c>
      <c r="E78" s="46" t="s">
        <v>185</v>
      </c>
      <c r="F78" s="46">
        <v>11545.3</v>
      </c>
      <c r="G78" s="46">
        <v>12893</v>
      </c>
      <c r="H78" s="46">
        <v>14131</v>
      </c>
      <c r="I78" s="46">
        <v>15706</v>
      </c>
      <c r="J78" s="46">
        <v>17127</v>
      </c>
      <c r="K78" s="46">
        <v>18559</v>
      </c>
      <c r="L78" s="46">
        <v>19718</v>
      </c>
      <c r="M78" s="46">
        <v>21006</v>
      </c>
      <c r="N78" s="104">
        <v>22458.154310547874</v>
      </c>
      <c r="O78" s="38"/>
      <c r="P78" s="558"/>
      <c r="Q78" s="29"/>
      <c r="R78" s="39"/>
      <c r="S78" s="39"/>
      <c r="T78" s="39"/>
      <c r="U78" s="39"/>
      <c r="W78" s="933">
        <v>1</v>
      </c>
      <c r="Y78" s="595"/>
    </row>
    <row r="79" spans="2:25" ht="22.5" customHeight="1">
      <c r="B79" s="207" t="str">
        <f>IF(Contents!$B$2=2,"Yamal-Nenets Autonomous Region","Ямало-Ненецкий автономный округ")</f>
        <v>Ямало-Ненецкий автономный округ</v>
      </c>
      <c r="C79" s="53" t="str">
        <f>IF(Contents!$B$2=2,"people"," человек")</f>
        <v xml:space="preserve"> человек</v>
      </c>
      <c r="D79" s="46" t="s">
        <v>185</v>
      </c>
      <c r="E79" s="46" t="s">
        <v>185</v>
      </c>
      <c r="F79" s="46">
        <v>7587.7</v>
      </c>
      <c r="G79" s="46">
        <v>8543</v>
      </c>
      <c r="H79" s="46">
        <v>9131</v>
      </c>
      <c r="I79" s="46">
        <v>9826</v>
      </c>
      <c r="J79" s="46">
        <v>10525</v>
      </c>
      <c r="K79" s="38">
        <v>11184</v>
      </c>
      <c r="L79" s="38">
        <v>11815</v>
      </c>
      <c r="M79" s="38">
        <v>12747</v>
      </c>
      <c r="N79" s="89">
        <v>13919.633400000001</v>
      </c>
      <c r="O79" s="38"/>
      <c r="P79" s="558"/>
      <c r="Q79" s="29"/>
      <c r="R79" s="39"/>
      <c r="S79" s="39"/>
      <c r="T79" s="39"/>
      <c r="U79" s="39"/>
      <c r="W79" s="933">
        <v>1</v>
      </c>
      <c r="Y79" s="595"/>
    </row>
    <row r="80" spans="2:25" ht="22.5" customHeight="1">
      <c r="B80" s="207" t="str">
        <f>IF(Contents!$B$2=2,"Moscow and Moscow Region","Москва и Московская область")</f>
        <v>Москва и Московская область</v>
      </c>
      <c r="C80" s="53" t="str">
        <f>IF(Contents!$B$2=2,"people"," человек")</f>
        <v xml:space="preserve"> человек</v>
      </c>
      <c r="D80" s="46" t="s">
        <v>185</v>
      </c>
      <c r="E80" s="46" t="s">
        <v>185</v>
      </c>
      <c r="F80" s="46">
        <v>1572.1</v>
      </c>
      <c r="G80" s="46">
        <v>1616</v>
      </c>
      <c r="H80" s="46">
        <v>1856</v>
      </c>
      <c r="I80" s="46">
        <v>2186</v>
      </c>
      <c r="J80" s="46">
        <v>2429</v>
      </c>
      <c r="K80" s="38">
        <v>2547</v>
      </c>
      <c r="L80" s="38">
        <v>2725</v>
      </c>
      <c r="M80" s="38">
        <v>2806</v>
      </c>
      <c r="N80" s="89">
        <v>2878.3989999999999</v>
      </c>
      <c r="O80" s="38"/>
      <c r="P80" s="558"/>
      <c r="Q80" s="29"/>
      <c r="R80" s="39"/>
      <c r="S80" s="39"/>
      <c r="T80" s="39"/>
      <c r="U80" s="39"/>
      <c r="W80" s="933">
        <v>1</v>
      </c>
      <c r="Y80" s="595"/>
    </row>
    <row r="81" spans="2:25" ht="22.5" customHeight="1">
      <c r="B81" s="207" t="str">
        <f>IF(Contents!$B$2=2,"Chelyabinsk Region","Челябинская область")</f>
        <v>Челябинская область</v>
      </c>
      <c r="C81" s="53" t="str">
        <f>IF(Contents!$B$2=2,"people"," человек")</f>
        <v xml:space="preserve"> человек</v>
      </c>
      <c r="D81" s="46" t="s">
        <v>185</v>
      </c>
      <c r="E81" s="46" t="s">
        <v>185</v>
      </c>
      <c r="F81" s="46">
        <v>880</v>
      </c>
      <c r="G81" s="46">
        <v>917</v>
      </c>
      <c r="H81" s="46">
        <v>1051</v>
      </c>
      <c r="I81" s="46">
        <v>1211</v>
      </c>
      <c r="J81" s="46">
        <v>1242</v>
      </c>
      <c r="K81" s="38">
        <v>1227</v>
      </c>
      <c r="L81" s="38">
        <v>1192</v>
      </c>
      <c r="M81" s="38">
        <v>1177</v>
      </c>
      <c r="N81" s="89">
        <v>1243.8282999999997</v>
      </c>
      <c r="O81" s="38"/>
      <c r="P81" s="558"/>
      <c r="Q81" s="29"/>
      <c r="R81" s="39"/>
      <c r="S81" s="39"/>
      <c r="T81" s="39"/>
      <c r="U81" s="39"/>
      <c r="W81" s="933">
        <v>1</v>
      </c>
      <c r="Y81" s="595"/>
    </row>
    <row r="82" spans="2:25" ht="22.5" customHeight="1">
      <c r="B82" s="207" t="str">
        <f>IF(Contents!$B$2=2,"St. Petersburg and Leningrad Region","Санкт-Петербург и Ленинградская область")</f>
        <v>Санкт-Петербург и Ленинградская область</v>
      </c>
      <c r="C82" s="53" t="str">
        <f>IF(Contents!$B$2=2,"people"," человек")</f>
        <v xml:space="preserve"> человек</v>
      </c>
      <c r="D82" s="46" t="s">
        <v>185</v>
      </c>
      <c r="E82" s="46" t="s">
        <v>185</v>
      </c>
      <c r="F82" s="46">
        <v>575.9</v>
      </c>
      <c r="G82" s="46">
        <v>713</v>
      </c>
      <c r="H82" s="46">
        <v>826</v>
      </c>
      <c r="I82" s="46">
        <v>930</v>
      </c>
      <c r="J82" s="46">
        <v>1020</v>
      </c>
      <c r="K82" s="38">
        <v>1168</v>
      </c>
      <c r="L82" s="38">
        <v>1265</v>
      </c>
      <c r="M82" s="38">
        <v>1335</v>
      </c>
      <c r="N82" s="89">
        <v>1422.7996000000001</v>
      </c>
      <c r="O82" s="38"/>
      <c r="P82" s="558"/>
      <c r="Q82" s="29"/>
      <c r="R82" s="39"/>
      <c r="S82" s="39"/>
      <c r="T82" s="39"/>
      <c r="U82" s="39"/>
      <c r="W82" s="933">
        <v>1</v>
      </c>
      <c r="Y82" s="595"/>
    </row>
    <row r="83" spans="2:25" ht="22.5" customHeight="1">
      <c r="B83" s="285" t="str">
        <f>IF(Contents!$B$2=2,"Other regions","Прочие регионы")</f>
        <v>Прочие регионы</v>
      </c>
      <c r="C83" s="53" t="str">
        <f>IF(Contents!$B$2=2,"people"," человек")</f>
        <v xml:space="preserve"> человек</v>
      </c>
      <c r="D83" s="46" t="s">
        <v>185</v>
      </c>
      <c r="E83" s="46" t="s">
        <v>185</v>
      </c>
      <c r="F83" s="38">
        <v>929.59999999999991</v>
      </c>
      <c r="G83" s="38">
        <v>1104</v>
      </c>
      <c r="H83" s="38">
        <v>1267</v>
      </c>
      <c r="I83" s="38">
        <v>1553</v>
      </c>
      <c r="J83" s="38">
        <v>1911</v>
      </c>
      <c r="K83" s="38">
        <v>2433</v>
      </c>
      <c r="L83" s="38">
        <v>2721</v>
      </c>
      <c r="M83" s="38">
        <v>2941</v>
      </c>
      <c r="N83" s="89">
        <v>2993.494010547875</v>
      </c>
      <c r="O83" s="38"/>
      <c r="P83" s="558"/>
      <c r="Q83" s="29"/>
      <c r="R83" s="39"/>
      <c r="S83" s="39"/>
      <c r="T83" s="39"/>
      <c r="U83" s="39"/>
      <c r="W83" s="933">
        <v>1</v>
      </c>
      <c r="Y83" s="595"/>
    </row>
    <row r="84" spans="2:25" ht="22.5" hidden="1" customHeight="1" outlineLevel="1">
      <c r="B84" s="367" t="str">
        <f>IF(Contents!$B$2=2,"Tyumen Region","Тюменская область")</f>
        <v>Тюменская область</v>
      </c>
      <c r="C84" s="53" t="str">
        <f>IF(Contents!$B$2=2,"people"," человек")</f>
        <v xml:space="preserve"> человек</v>
      </c>
      <c r="D84" s="46" t="s">
        <v>185</v>
      </c>
      <c r="E84" s="46" t="s">
        <v>185</v>
      </c>
      <c r="F84" s="46">
        <v>226</v>
      </c>
      <c r="G84" s="46">
        <v>261</v>
      </c>
      <c r="H84" s="46">
        <v>369</v>
      </c>
      <c r="I84" s="46">
        <v>491</v>
      </c>
      <c r="J84" s="46">
        <v>593</v>
      </c>
      <c r="K84" s="38">
        <v>728</v>
      </c>
      <c r="L84" s="91">
        <v>801</v>
      </c>
      <c r="M84" s="91">
        <v>875</v>
      </c>
      <c r="N84" s="89">
        <v>949.28</v>
      </c>
      <c r="O84" s="38"/>
      <c r="P84" s="558"/>
      <c r="Q84" s="29"/>
      <c r="R84" s="39"/>
      <c r="S84" s="39"/>
      <c r="T84" s="39"/>
      <c r="U84" s="39"/>
      <c r="W84" s="933">
        <v>1</v>
      </c>
      <c r="Y84" s="595"/>
    </row>
    <row r="85" spans="2:25" ht="22.5" hidden="1" customHeight="1" outlineLevel="1">
      <c r="B85" s="367" t="str">
        <f>IF(Contents!$B$2=2,"Rostov Region","Ростовская область")</f>
        <v>Ростовская область</v>
      </c>
      <c r="C85" s="53" t="str">
        <f>IF(Contents!$B$2=2,"people"," человек")</f>
        <v xml:space="preserve"> человек</v>
      </c>
      <c r="D85" s="46" t="s">
        <v>185</v>
      </c>
      <c r="E85" s="46" t="s">
        <v>185</v>
      </c>
      <c r="F85" s="46">
        <v>203</v>
      </c>
      <c r="G85" s="46">
        <v>201</v>
      </c>
      <c r="H85" s="46">
        <v>202</v>
      </c>
      <c r="I85" s="46">
        <v>205</v>
      </c>
      <c r="J85" s="46">
        <v>205</v>
      </c>
      <c r="K85" s="38">
        <v>205</v>
      </c>
      <c r="L85" s="91">
        <v>186</v>
      </c>
      <c r="M85" s="91">
        <v>188</v>
      </c>
      <c r="N85" s="89">
        <v>197.09030000000004</v>
      </c>
      <c r="O85" s="29"/>
      <c r="P85" s="558"/>
      <c r="Q85" s="29"/>
      <c r="R85" s="39"/>
      <c r="S85" s="39"/>
      <c r="T85" s="39"/>
      <c r="U85" s="39"/>
      <c r="W85" s="933">
        <v>1</v>
      </c>
      <c r="Y85" s="595"/>
    </row>
    <row r="86" spans="2:25" ht="22.5" hidden="1" customHeight="1" outlineLevel="1">
      <c r="B86" s="367" t="str">
        <f>IF(Contents!$B$2=2,"Kostroma Region","Костромская область")</f>
        <v>Костромская область</v>
      </c>
      <c r="C86" s="53" t="str">
        <f>IF(Contents!$B$2=2,"people"," человек")</f>
        <v xml:space="preserve"> человек</v>
      </c>
      <c r="D86" s="46" t="s">
        <v>185</v>
      </c>
      <c r="E86" s="46" t="s">
        <v>185</v>
      </c>
      <c r="F86" s="46">
        <v>182</v>
      </c>
      <c r="G86" s="46">
        <v>186</v>
      </c>
      <c r="H86" s="46">
        <v>185</v>
      </c>
      <c r="I86" s="46">
        <v>187</v>
      </c>
      <c r="J86" s="46">
        <v>190</v>
      </c>
      <c r="K86" s="38">
        <v>191</v>
      </c>
      <c r="L86" s="91">
        <v>190</v>
      </c>
      <c r="M86" s="91">
        <v>188</v>
      </c>
      <c r="N86" s="89">
        <v>192</v>
      </c>
      <c r="O86" s="29"/>
      <c r="P86" s="558"/>
      <c r="Q86" s="29"/>
      <c r="R86" s="39"/>
      <c r="S86" s="39"/>
      <c r="T86" s="39"/>
      <c r="U86" s="39"/>
      <c r="W86" s="933">
        <v>1</v>
      </c>
      <c r="Y86" s="595"/>
    </row>
    <row r="87" spans="2:25" ht="22.5" hidden="1" customHeight="1" outlineLevel="1">
      <c r="B87" s="367" t="str">
        <f>IF(Contents!$B$2=2,"Volgograd Region","Волгоградская область")</f>
        <v>Волгоградская область</v>
      </c>
      <c r="C87" s="53" t="str">
        <f>IF(Contents!$B$2=2,"people"," человек")</f>
        <v xml:space="preserve"> человек</v>
      </c>
      <c r="D87" s="46" t="s">
        <v>185</v>
      </c>
      <c r="E87" s="46" t="s">
        <v>185</v>
      </c>
      <c r="F87" s="46">
        <v>174</v>
      </c>
      <c r="G87" s="46">
        <v>181</v>
      </c>
      <c r="H87" s="46">
        <v>190</v>
      </c>
      <c r="I87" s="46">
        <v>192</v>
      </c>
      <c r="J87" s="46">
        <v>200</v>
      </c>
      <c r="K87" s="91">
        <v>203</v>
      </c>
      <c r="L87" s="91">
        <v>204</v>
      </c>
      <c r="M87" s="91">
        <v>197</v>
      </c>
      <c r="N87" s="89">
        <v>202.46720000000005</v>
      </c>
      <c r="O87" s="29"/>
      <c r="P87" s="558"/>
      <c r="Q87" s="29"/>
      <c r="R87" s="39"/>
      <c r="S87" s="39"/>
      <c r="T87" s="39"/>
      <c r="U87" s="39"/>
      <c r="W87" s="933">
        <v>1</v>
      </c>
      <c r="Y87" s="595"/>
    </row>
    <row r="88" spans="2:25" ht="22.5" hidden="1" customHeight="1" outlineLevel="1">
      <c r="B88" s="367" t="str">
        <f>IF(Contents!$B$2=2,"Murmansk Region","Мурманская область")</f>
        <v>Мурманская область</v>
      </c>
      <c r="C88" s="53" t="str">
        <f>IF(Contents!$B$2=2,"people"," человек")</f>
        <v xml:space="preserve"> человек</v>
      </c>
      <c r="D88" s="46" t="s">
        <v>185</v>
      </c>
      <c r="E88" s="46" t="s">
        <v>185</v>
      </c>
      <c r="F88" s="46">
        <v>102.3</v>
      </c>
      <c r="G88" s="46">
        <v>155</v>
      </c>
      <c r="H88" s="46">
        <v>196</v>
      </c>
      <c r="I88" s="46">
        <v>323</v>
      </c>
      <c r="J88" s="46">
        <v>541</v>
      </c>
      <c r="K88" s="91">
        <v>886</v>
      </c>
      <c r="L88" s="91">
        <v>1072</v>
      </c>
      <c r="M88" s="91">
        <v>1071</v>
      </c>
      <c r="N88" s="89">
        <v>840.696710547875</v>
      </c>
      <c r="O88" s="29"/>
      <c r="P88" s="558"/>
      <c r="Q88" s="29"/>
      <c r="R88" s="39"/>
      <c r="S88" s="39"/>
      <c r="T88" s="39"/>
      <c r="U88" s="39"/>
      <c r="W88" s="933">
        <v>1</v>
      </c>
      <c r="Y88" s="595"/>
    </row>
    <row r="89" spans="2:25" ht="22.5" hidden="1" customHeight="1" outlineLevel="1">
      <c r="B89" s="367" t="str">
        <f>IF(Contents!$B$2=2,"Khanty-Mansiysk Autonomous Region","Ханты-Мансийский автономный округ")</f>
        <v>Ханты-Мансийский автономный округ</v>
      </c>
      <c r="C89" s="53" t="str">
        <f>IF(Contents!$B$2=2,"people"," человек")</f>
        <v xml:space="preserve"> человек</v>
      </c>
      <c r="D89" s="46" t="s">
        <v>185</v>
      </c>
      <c r="E89" s="46" t="s">
        <v>185</v>
      </c>
      <c r="F89" s="46">
        <v>0</v>
      </c>
      <c r="G89" s="46">
        <v>74</v>
      </c>
      <c r="H89" s="46">
        <v>63</v>
      </c>
      <c r="I89" s="46">
        <v>65</v>
      </c>
      <c r="J89" s="46">
        <v>63</v>
      </c>
      <c r="K89" s="91">
        <v>63</v>
      </c>
      <c r="L89" s="91">
        <v>62</v>
      </c>
      <c r="M89" s="91">
        <v>63</v>
      </c>
      <c r="N89" s="89">
        <v>62.22</v>
      </c>
      <c r="O89" s="29"/>
      <c r="P89" s="558"/>
      <c r="Q89" s="29"/>
      <c r="R89" s="39"/>
      <c r="S89" s="39"/>
      <c r="T89" s="39"/>
      <c r="U89" s="39"/>
      <c r="W89" s="933">
        <v>1</v>
      </c>
      <c r="Y89" s="595"/>
    </row>
    <row r="90" spans="2:25" ht="22.5" hidden="1" customHeight="1" outlineLevel="1">
      <c r="B90" s="367" t="str">
        <f>IF(Contents!$B$2=2,"Perm Territory","Пермский край")</f>
        <v>Пермский край</v>
      </c>
      <c r="C90" s="53" t="str">
        <f>IF(Contents!$B$2=2,"people"," человек")</f>
        <v xml:space="preserve"> человек</v>
      </c>
      <c r="D90" s="46" t="s">
        <v>185</v>
      </c>
      <c r="E90" s="46" t="s">
        <v>185</v>
      </c>
      <c r="F90" s="46">
        <v>18</v>
      </c>
      <c r="G90" s="46">
        <v>20</v>
      </c>
      <c r="H90" s="46">
        <v>21</v>
      </c>
      <c r="I90" s="46">
        <v>21</v>
      </c>
      <c r="J90" s="46">
        <v>21</v>
      </c>
      <c r="K90" s="91">
        <v>22</v>
      </c>
      <c r="L90" s="91">
        <v>21</v>
      </c>
      <c r="M90" s="91">
        <v>21</v>
      </c>
      <c r="N90" s="89">
        <v>22</v>
      </c>
      <c r="O90" s="29"/>
      <c r="P90" s="558"/>
      <c r="Q90" s="29"/>
      <c r="R90" s="39"/>
      <c r="S90" s="39"/>
      <c r="T90" s="39"/>
      <c r="U90" s="39"/>
      <c r="W90" s="933">
        <v>1</v>
      </c>
      <c r="Y90" s="595"/>
    </row>
    <row r="91" spans="2:25" ht="22.5" hidden="1" customHeight="1" outlineLevel="1">
      <c r="B91" s="367" t="str">
        <f>IF(Contents!$B$2=2,"Astrakhan Region","Астраханская область")</f>
        <v>Астраханская область</v>
      </c>
      <c r="C91" s="53" t="str">
        <f>IF(Contents!$B$2=2,"people"," человек")</f>
        <v xml:space="preserve"> человек</v>
      </c>
      <c r="D91" s="46" t="s">
        <v>185</v>
      </c>
      <c r="E91" s="46" t="s">
        <v>185</v>
      </c>
      <c r="F91" s="46">
        <v>18</v>
      </c>
      <c r="G91" s="46">
        <v>18</v>
      </c>
      <c r="H91" s="46">
        <v>19</v>
      </c>
      <c r="I91" s="46">
        <v>20</v>
      </c>
      <c r="J91" s="46">
        <v>20</v>
      </c>
      <c r="K91" s="91">
        <v>21</v>
      </c>
      <c r="L91" s="91">
        <v>21</v>
      </c>
      <c r="M91" s="91">
        <v>24</v>
      </c>
      <c r="N91" s="89">
        <v>23.6538</v>
      </c>
      <c r="O91" s="29"/>
      <c r="P91" s="558"/>
      <c r="Q91" s="29"/>
      <c r="R91" s="39"/>
      <c r="S91" s="39"/>
      <c r="T91" s="39"/>
      <c r="U91" s="39"/>
      <c r="W91" s="933">
        <v>1</v>
      </c>
      <c r="Y91" s="595"/>
    </row>
    <row r="92" spans="2:25" ht="22.5" hidden="1" customHeight="1" outlineLevel="1">
      <c r="B92" s="367" t="str">
        <f>IF(Contents!$B$2=2,"Krasnodar Territory","Краснодарский край")</f>
        <v>Краснодарский край</v>
      </c>
      <c r="C92" s="53" t="str">
        <f>IF(Contents!$B$2=2,"people"," человек")</f>
        <v xml:space="preserve"> человек</v>
      </c>
      <c r="D92" s="46" t="s">
        <v>185</v>
      </c>
      <c r="E92" s="46" t="s">
        <v>185</v>
      </c>
      <c r="F92" s="46">
        <v>0</v>
      </c>
      <c r="G92" s="46">
        <v>1</v>
      </c>
      <c r="H92" s="46">
        <v>5</v>
      </c>
      <c r="I92" s="46">
        <v>7</v>
      </c>
      <c r="J92" s="46">
        <v>6</v>
      </c>
      <c r="K92" s="91">
        <v>5</v>
      </c>
      <c r="L92" s="91">
        <v>5</v>
      </c>
      <c r="M92" s="91">
        <v>5</v>
      </c>
      <c r="N92" s="89">
        <v>0</v>
      </c>
      <c r="O92" s="29"/>
      <c r="P92" s="558"/>
      <c r="Q92" s="29"/>
      <c r="R92" s="39"/>
      <c r="S92" s="39"/>
      <c r="T92" s="39"/>
      <c r="U92" s="39"/>
      <c r="W92" s="933">
        <v>1</v>
      </c>
      <c r="Y92" s="595"/>
    </row>
    <row r="93" spans="2:25" ht="22.5" hidden="1" customHeight="1" outlineLevel="1">
      <c r="B93" s="367" t="str">
        <f>IF(Contents!$B$2=2,"Samara Region","Самарская область")</f>
        <v>Самарская область</v>
      </c>
      <c r="C93" s="53" t="str">
        <f>IF(Contents!$B$2=2,"people"," человек")</f>
        <v xml:space="preserve"> человек</v>
      </c>
      <c r="D93" s="46" t="s">
        <v>185</v>
      </c>
      <c r="E93" s="46" t="s">
        <v>185</v>
      </c>
      <c r="F93" s="46">
        <v>2.9</v>
      </c>
      <c r="G93" s="46">
        <v>3</v>
      </c>
      <c r="H93" s="46">
        <v>5</v>
      </c>
      <c r="I93" s="46">
        <v>6</v>
      </c>
      <c r="J93" s="46">
        <v>10</v>
      </c>
      <c r="K93" s="91">
        <v>18</v>
      </c>
      <c r="L93" s="91">
        <v>21</v>
      </c>
      <c r="M93" s="91">
        <v>34</v>
      </c>
      <c r="N93" s="89">
        <v>36.409999999999997</v>
      </c>
      <c r="O93" s="29"/>
      <c r="P93" s="558"/>
      <c r="Q93" s="29"/>
      <c r="R93" s="39"/>
      <c r="S93" s="39"/>
      <c r="T93" s="39"/>
      <c r="U93" s="39"/>
      <c r="W93" s="933">
        <v>1</v>
      </c>
      <c r="Y93" s="595"/>
    </row>
    <row r="94" spans="2:25" ht="22.5" hidden="1" customHeight="1" outlineLevel="1">
      <c r="B94" s="367" t="str">
        <f>IF(Contents!$B$2=2,"Arkhangelsk Region","Архангельская область")</f>
        <v>Архангельская область</v>
      </c>
      <c r="C94" s="53" t="str">
        <f>IF(Contents!$B$2=2,"people"," человек")</f>
        <v xml:space="preserve"> человек</v>
      </c>
      <c r="D94" s="46" t="s">
        <v>185</v>
      </c>
      <c r="E94" s="46" t="s">
        <v>185</v>
      </c>
      <c r="F94" s="46">
        <v>3.4</v>
      </c>
      <c r="G94" s="46">
        <v>3</v>
      </c>
      <c r="H94" s="46">
        <v>3</v>
      </c>
      <c r="I94" s="46">
        <v>3</v>
      </c>
      <c r="J94" s="46">
        <v>4</v>
      </c>
      <c r="K94" s="91">
        <v>4</v>
      </c>
      <c r="L94" s="91">
        <v>6</v>
      </c>
      <c r="M94" s="91">
        <v>6</v>
      </c>
      <c r="N94" s="89">
        <v>5.9399999999999995</v>
      </c>
      <c r="O94" s="29"/>
      <c r="P94" s="558"/>
      <c r="Q94" s="29"/>
      <c r="R94" s="39"/>
      <c r="S94" s="39"/>
      <c r="T94" s="39"/>
      <c r="U94" s="39"/>
      <c r="W94" s="933">
        <v>1</v>
      </c>
      <c r="Y94" s="595"/>
    </row>
    <row r="95" spans="2:25" ht="22.5" hidden="1" customHeight="1" outlineLevel="1">
      <c r="B95" s="367" t="str">
        <f>IF(Contents!$B$2=2,"Kamchatka Territory","Камчатский край")</f>
        <v>Камчатский край</v>
      </c>
      <c r="C95" s="53" t="str">
        <f>IF(Contents!$B$2=2,"people"," человек")</f>
        <v xml:space="preserve"> человек</v>
      </c>
      <c r="D95" s="46" t="s">
        <v>185</v>
      </c>
      <c r="E95" s="46" t="s">
        <v>185</v>
      </c>
      <c r="F95" s="46">
        <v>0</v>
      </c>
      <c r="G95" s="46">
        <v>1</v>
      </c>
      <c r="H95" s="46">
        <v>2</v>
      </c>
      <c r="I95" s="46">
        <v>4</v>
      </c>
      <c r="J95" s="46">
        <v>9</v>
      </c>
      <c r="K95" s="91">
        <v>20</v>
      </c>
      <c r="L95" s="91">
        <v>51</v>
      </c>
      <c r="M95" s="91">
        <v>77</v>
      </c>
      <c r="N95" s="89">
        <v>101.726</v>
      </c>
      <c r="O95" s="29"/>
      <c r="P95" s="558"/>
      <c r="Q95" s="29"/>
      <c r="R95" s="39"/>
      <c r="S95" s="39"/>
      <c r="T95" s="39"/>
      <c r="U95" s="39"/>
      <c r="W95" s="933">
        <v>1</v>
      </c>
      <c r="Y95" s="595"/>
    </row>
    <row r="96" spans="2:25" ht="22.5" hidden="1" customHeight="1" outlineLevel="1">
      <c r="B96" s="367" t="str">
        <f>IF(Contents!$B$2=2,"Republic of Bashkortostan","Республика Башкортостан")</f>
        <v>Республика Башкортостан</v>
      </c>
      <c r="C96" s="53" t="str">
        <f>IF(Contents!$B$2=2,"people"," человек")</f>
        <v xml:space="preserve"> человек</v>
      </c>
      <c r="D96" s="46" t="s">
        <v>185</v>
      </c>
      <c r="E96" s="46" t="s">
        <v>185</v>
      </c>
      <c r="F96" s="46">
        <v>0</v>
      </c>
      <c r="G96" s="46" t="s">
        <v>185</v>
      </c>
      <c r="H96" s="46">
        <v>7</v>
      </c>
      <c r="I96" s="46">
        <v>15</v>
      </c>
      <c r="J96" s="46">
        <v>19</v>
      </c>
      <c r="K96" s="91">
        <v>19</v>
      </c>
      <c r="L96" s="91">
        <v>19</v>
      </c>
      <c r="M96" s="91">
        <v>22</v>
      </c>
      <c r="N96" s="89">
        <v>21</v>
      </c>
      <c r="O96" s="29"/>
      <c r="P96" s="558"/>
      <c r="Q96" s="29"/>
      <c r="R96" s="39"/>
      <c r="S96" s="39"/>
      <c r="T96" s="39"/>
      <c r="U96" s="39"/>
      <c r="W96" s="933">
        <v>1</v>
      </c>
      <c r="Y96" s="595"/>
    </row>
    <row r="97" spans="1:48" ht="22.5" hidden="1" customHeight="1" outlineLevel="1">
      <c r="B97" s="367" t="str">
        <f>IF(Contents!$B$2=2,"Novosibirsk Region","Новосибирская область")</f>
        <v>Новосибирская область</v>
      </c>
      <c r="C97" s="53" t="str">
        <f>IF(Contents!$B$2=2,"people"," человек")</f>
        <v xml:space="preserve"> человек</v>
      </c>
      <c r="D97" s="46" t="s">
        <v>185</v>
      </c>
      <c r="E97" s="46" t="s">
        <v>185</v>
      </c>
      <c r="F97" s="46">
        <v>0</v>
      </c>
      <c r="G97" s="46" t="s">
        <v>185</v>
      </c>
      <c r="H97" s="46">
        <v>0</v>
      </c>
      <c r="I97" s="46">
        <v>1</v>
      </c>
      <c r="J97" s="46">
        <v>1</v>
      </c>
      <c r="K97" s="91">
        <v>1</v>
      </c>
      <c r="L97" s="46" t="s">
        <v>185</v>
      </c>
      <c r="M97" s="46">
        <v>0</v>
      </c>
      <c r="N97" s="89">
        <v>0</v>
      </c>
      <c r="O97" s="29"/>
      <c r="P97" s="558"/>
      <c r="Q97" s="29"/>
      <c r="R97" s="39"/>
      <c r="S97" s="39"/>
      <c r="T97" s="39"/>
      <c r="U97" s="39"/>
      <c r="W97" s="933">
        <v>1</v>
      </c>
      <c r="Y97" s="595"/>
    </row>
    <row r="98" spans="1:48" ht="22.5" hidden="1" customHeight="1" outlineLevel="1">
      <c r="B98" s="367" t="str">
        <f>IF(Contents!$B$2=2,"Stavropol Territory","Ставропольский край")</f>
        <v>Ставропольский край</v>
      </c>
      <c r="C98" s="53" t="str">
        <f>IF(Contents!$B$2=2,"people"," человек")</f>
        <v xml:space="preserve"> человек</v>
      </c>
      <c r="D98" s="46" t="s">
        <v>185</v>
      </c>
      <c r="E98" s="46" t="s">
        <v>185</v>
      </c>
      <c r="F98" s="90">
        <v>0</v>
      </c>
      <c r="G98" s="90">
        <v>0</v>
      </c>
      <c r="H98" s="90">
        <v>0</v>
      </c>
      <c r="I98" s="91">
        <v>0</v>
      </c>
      <c r="J98" s="91">
        <v>0</v>
      </c>
      <c r="K98" s="91">
        <v>0</v>
      </c>
      <c r="L98" s="91">
        <v>0</v>
      </c>
      <c r="M98" s="91">
        <v>0</v>
      </c>
      <c r="N98" s="89">
        <v>0</v>
      </c>
      <c r="O98" s="29"/>
      <c r="P98" s="558"/>
      <c r="Q98" s="29"/>
      <c r="R98" s="39"/>
      <c r="S98" s="39"/>
      <c r="T98" s="39"/>
      <c r="U98" s="39"/>
      <c r="W98" s="933">
        <v>1</v>
      </c>
      <c r="Y98" s="595"/>
    </row>
    <row r="99" spans="1:48" ht="22.5" hidden="1" customHeight="1" outlineLevel="1">
      <c r="B99" s="367" t="str">
        <f>IF(Contents!$B$2=2,"Sverdlovsk Region","Свердловская область")</f>
        <v>Свердловская область</v>
      </c>
      <c r="C99" s="53" t="str">
        <f>IF(Contents!$B$2=2,"people"," человек")</f>
        <v xml:space="preserve"> человек</v>
      </c>
      <c r="D99" s="46" t="s">
        <v>185</v>
      </c>
      <c r="E99" s="46" t="s">
        <v>185</v>
      </c>
      <c r="F99" s="90">
        <v>0</v>
      </c>
      <c r="G99" s="90">
        <v>0</v>
      </c>
      <c r="H99" s="90">
        <v>0</v>
      </c>
      <c r="I99" s="46">
        <v>3</v>
      </c>
      <c r="J99" s="46">
        <v>11</v>
      </c>
      <c r="K99" s="91">
        <v>17</v>
      </c>
      <c r="L99" s="91">
        <v>21</v>
      </c>
      <c r="M99" s="91">
        <v>19</v>
      </c>
      <c r="N99" s="89">
        <v>14.08</v>
      </c>
      <c r="O99" s="29"/>
      <c r="P99" s="558"/>
      <c r="Q99" s="29"/>
      <c r="R99" s="39"/>
      <c r="S99" s="39"/>
      <c r="T99" s="39"/>
      <c r="U99" s="39"/>
      <c r="W99" s="933">
        <v>1</v>
      </c>
      <c r="Y99" s="595"/>
    </row>
    <row r="100" spans="1:48" ht="22.5" hidden="1" customHeight="1" outlineLevel="1">
      <c r="B100" s="367" t="str">
        <f>IF(Contents!$B$2=2,"Tver region","Тверская область")</f>
        <v>Тверская область</v>
      </c>
      <c r="C100" s="53" t="str">
        <f>IF(Contents!$B$2=2,"people"," человек")</f>
        <v xml:space="preserve"> человек</v>
      </c>
      <c r="D100" s="46" t="s">
        <v>185</v>
      </c>
      <c r="E100" s="46" t="s">
        <v>185</v>
      </c>
      <c r="F100" s="90">
        <v>0</v>
      </c>
      <c r="G100" s="90">
        <v>0</v>
      </c>
      <c r="H100" s="90">
        <v>0</v>
      </c>
      <c r="I100" s="46">
        <v>5</v>
      </c>
      <c r="J100" s="46">
        <v>7</v>
      </c>
      <c r="K100" s="91">
        <v>9</v>
      </c>
      <c r="L100" s="91">
        <v>9</v>
      </c>
      <c r="M100" s="91">
        <v>11</v>
      </c>
      <c r="N100" s="89">
        <v>10.34</v>
      </c>
      <c r="O100" s="29"/>
      <c r="P100" s="558"/>
      <c r="Q100" s="29"/>
      <c r="R100" s="39"/>
      <c r="S100" s="39"/>
      <c r="T100" s="39"/>
      <c r="U100" s="39"/>
      <c r="W100" s="933">
        <v>1</v>
      </c>
      <c r="Y100" s="595"/>
    </row>
    <row r="101" spans="1:48" ht="22.5" hidden="1" customHeight="1" outlineLevel="1">
      <c r="B101" s="367" t="str">
        <f>IF(Contents!$B$2=2,"Tula Region","Тульская область")</f>
        <v>Тульская область</v>
      </c>
      <c r="C101" s="53" t="str">
        <f>IF(Contents!$B$2=2,"people"," человек")</f>
        <v xml:space="preserve"> человек</v>
      </c>
      <c r="D101" s="46" t="s">
        <v>185</v>
      </c>
      <c r="E101" s="46" t="s">
        <v>185</v>
      </c>
      <c r="F101" s="90">
        <v>0</v>
      </c>
      <c r="G101" s="90">
        <v>0</v>
      </c>
      <c r="H101" s="90">
        <v>0</v>
      </c>
      <c r="I101" s="46">
        <v>4</v>
      </c>
      <c r="J101" s="46">
        <v>6</v>
      </c>
      <c r="K101" s="91">
        <v>9</v>
      </c>
      <c r="L101" s="91">
        <v>10</v>
      </c>
      <c r="M101" s="91">
        <v>8</v>
      </c>
      <c r="N101" s="89">
        <v>13.16</v>
      </c>
      <c r="O101" s="29"/>
      <c r="P101" s="558"/>
      <c r="Q101" s="29"/>
      <c r="R101" s="39"/>
      <c r="S101" s="39"/>
      <c r="T101" s="39"/>
      <c r="U101" s="39"/>
      <c r="W101" s="933">
        <v>1</v>
      </c>
      <c r="Y101" s="595"/>
    </row>
    <row r="102" spans="1:48" ht="22.5" hidden="1" customHeight="1" outlineLevel="1">
      <c r="B102" s="367" t="str">
        <f>IF(Contents!$B$2=2,"Republic of Tatarstan","Республика Татарстан")</f>
        <v>Республика Татарстан</v>
      </c>
      <c r="C102" s="53" t="str">
        <f>IF(Contents!$B$2=2,"people"," человек")</f>
        <v xml:space="preserve"> человек</v>
      </c>
      <c r="D102" s="46" t="s">
        <v>185</v>
      </c>
      <c r="E102" s="46" t="s">
        <v>185</v>
      </c>
      <c r="F102" s="90">
        <v>0</v>
      </c>
      <c r="G102" s="90">
        <v>0</v>
      </c>
      <c r="H102" s="90">
        <v>0</v>
      </c>
      <c r="I102" s="46">
        <v>1</v>
      </c>
      <c r="J102" s="46">
        <v>5</v>
      </c>
      <c r="K102" s="91">
        <v>8</v>
      </c>
      <c r="L102" s="91">
        <v>9</v>
      </c>
      <c r="M102" s="91">
        <v>9</v>
      </c>
      <c r="N102" s="89">
        <v>6</v>
      </c>
      <c r="O102" s="29"/>
      <c r="P102" s="558"/>
      <c r="Q102" s="29"/>
      <c r="R102" s="39"/>
      <c r="S102" s="39"/>
      <c r="T102" s="39"/>
      <c r="U102" s="39"/>
      <c r="W102" s="933">
        <v>1</v>
      </c>
      <c r="Y102" s="595"/>
    </row>
    <row r="103" spans="1:48" ht="22.5" hidden="1" customHeight="1" outlineLevel="1">
      <c r="B103" s="367" t="str">
        <f>IF(Contents!$B$2=2,"Vladimir Region","Владимирская область")</f>
        <v>Владимирская область</v>
      </c>
      <c r="C103" s="53" t="str">
        <f>IF(Contents!$B$2=2,"people"," человек")</f>
        <v xml:space="preserve"> человек</v>
      </c>
      <c r="D103" s="46" t="s">
        <v>185</v>
      </c>
      <c r="E103" s="46" t="s">
        <v>185</v>
      </c>
      <c r="F103" s="90">
        <v>0</v>
      </c>
      <c r="G103" s="90">
        <v>0</v>
      </c>
      <c r="H103" s="90">
        <v>0</v>
      </c>
      <c r="I103" s="46">
        <v>0</v>
      </c>
      <c r="J103" s="46">
        <v>0</v>
      </c>
      <c r="K103" s="91">
        <v>4</v>
      </c>
      <c r="L103" s="91">
        <v>10</v>
      </c>
      <c r="M103" s="91">
        <v>10</v>
      </c>
      <c r="N103" s="89">
        <v>10.9</v>
      </c>
      <c r="O103" s="29"/>
      <c r="P103" s="558"/>
      <c r="Q103" s="29"/>
      <c r="R103" s="39"/>
      <c r="S103" s="39"/>
      <c r="T103" s="39"/>
      <c r="U103" s="39"/>
      <c r="W103" s="933">
        <v>1</v>
      </c>
      <c r="Y103" s="595"/>
    </row>
    <row r="104" spans="1:48" ht="22.5" hidden="1" customHeight="1" outlineLevel="1">
      <c r="B104" s="367" t="str">
        <f>IF(Contents!$B$2=2,"Penza Region","Пензенская область")</f>
        <v>Пензенская область</v>
      </c>
      <c r="C104" s="53" t="str">
        <f>IF(Contents!$B$2=2,"people"," человек")</f>
        <v xml:space="preserve"> человек</v>
      </c>
      <c r="D104" s="46" t="s">
        <v>185</v>
      </c>
      <c r="E104" s="46" t="s">
        <v>185</v>
      </c>
      <c r="F104" s="90">
        <v>0</v>
      </c>
      <c r="G104" s="90">
        <v>0</v>
      </c>
      <c r="H104" s="90">
        <v>0</v>
      </c>
      <c r="I104" s="46">
        <v>0</v>
      </c>
      <c r="J104" s="46">
        <v>0</v>
      </c>
      <c r="K104" s="46">
        <v>0</v>
      </c>
      <c r="L104" s="91">
        <v>3</v>
      </c>
      <c r="M104" s="91">
        <v>6</v>
      </c>
      <c r="N104" s="89">
        <v>5.69</v>
      </c>
      <c r="O104" s="29"/>
      <c r="P104" s="558"/>
      <c r="Q104" s="29"/>
      <c r="R104" s="39"/>
      <c r="S104" s="39"/>
      <c r="T104" s="39"/>
      <c r="U104" s="39"/>
      <c r="W104" s="933">
        <v>1</v>
      </c>
      <c r="Y104" s="595"/>
    </row>
    <row r="105" spans="1:48" ht="22.5" hidden="1" customHeight="1" outlineLevel="1">
      <c r="B105" s="368" t="str">
        <f>IF(Contents!$B$2=2,"Nizhny Novgorod region","Нижегородская область")</f>
        <v>Нижегородская область</v>
      </c>
      <c r="C105" s="53" t="str">
        <f>IF(Contents!$B$2=2,"people"," человек")</f>
        <v xml:space="preserve"> человек</v>
      </c>
      <c r="D105" s="46" t="s">
        <v>185</v>
      </c>
      <c r="E105" s="46" t="s">
        <v>185</v>
      </c>
      <c r="F105" s="90">
        <v>0</v>
      </c>
      <c r="G105" s="90">
        <v>0</v>
      </c>
      <c r="H105" s="90">
        <v>0</v>
      </c>
      <c r="I105" s="46">
        <v>0</v>
      </c>
      <c r="J105" s="46">
        <v>0</v>
      </c>
      <c r="K105" s="46">
        <v>0</v>
      </c>
      <c r="L105" s="46">
        <v>0</v>
      </c>
      <c r="M105" s="46">
        <v>2</v>
      </c>
      <c r="N105" s="89">
        <v>6</v>
      </c>
      <c r="O105" s="29"/>
      <c r="P105" s="558"/>
      <c r="Q105" s="29"/>
      <c r="R105" s="39"/>
      <c r="S105" s="39"/>
      <c r="T105" s="39"/>
      <c r="U105" s="39"/>
      <c r="W105" s="933">
        <v>1</v>
      </c>
      <c r="Y105" s="595"/>
    </row>
    <row r="106" spans="1:48" ht="22.5" hidden="1" customHeight="1" outlineLevel="1">
      <c r="B106" s="368" t="str">
        <f>IF(Contents!$B$2=2,"Primorsky Krai","Приморский край")</f>
        <v>Приморский край</v>
      </c>
      <c r="C106" s="53" t="str">
        <f>IF(Contents!$B$2=2,"people"," человек")</f>
        <v xml:space="preserve"> человек</v>
      </c>
      <c r="D106" s="46" t="s">
        <v>185</v>
      </c>
      <c r="E106" s="46" t="s">
        <v>185</v>
      </c>
      <c r="F106" s="90">
        <v>0</v>
      </c>
      <c r="G106" s="90">
        <v>0</v>
      </c>
      <c r="H106" s="90">
        <v>0</v>
      </c>
      <c r="I106" s="46">
        <v>0</v>
      </c>
      <c r="J106" s="46">
        <v>0</v>
      </c>
      <c r="K106" s="46">
        <v>0</v>
      </c>
      <c r="L106" s="46">
        <v>0</v>
      </c>
      <c r="M106" s="46">
        <v>105</v>
      </c>
      <c r="N106" s="89">
        <v>268.84000000000003</v>
      </c>
      <c r="O106" s="29"/>
      <c r="P106" s="558"/>
      <c r="Q106" s="29"/>
      <c r="R106" s="39"/>
      <c r="S106" s="39"/>
      <c r="T106" s="39"/>
      <c r="U106" s="39"/>
      <c r="W106" s="933">
        <v>1</v>
      </c>
      <c r="Y106" s="595"/>
    </row>
    <row r="107" spans="1:48" ht="22.5" hidden="1" customHeight="1" outlineLevel="1">
      <c r="B107" s="368" t="str">
        <f>IF(Contents!$B$2=2,"Republic of Mari El","Республика Марий Эл")</f>
        <v>Республика Марий Эл</v>
      </c>
      <c r="C107" s="53" t="str">
        <f>IF(Contents!$B$2=2,"people"," человек")</f>
        <v xml:space="preserve"> человек</v>
      </c>
      <c r="D107" s="46" t="s">
        <v>185</v>
      </c>
      <c r="E107" s="46" t="s">
        <v>185</v>
      </c>
      <c r="F107" s="90">
        <v>0</v>
      </c>
      <c r="G107" s="90">
        <v>0</v>
      </c>
      <c r="H107" s="90">
        <v>0</v>
      </c>
      <c r="I107" s="46">
        <v>0</v>
      </c>
      <c r="J107" s="46">
        <v>0</v>
      </c>
      <c r="K107" s="46">
        <v>0</v>
      </c>
      <c r="L107" s="46">
        <v>0</v>
      </c>
      <c r="M107" s="46">
        <v>0</v>
      </c>
      <c r="N107" s="89">
        <v>0</v>
      </c>
      <c r="O107" s="29"/>
      <c r="P107" s="558"/>
      <c r="Q107" s="29"/>
      <c r="R107" s="39"/>
      <c r="S107" s="39"/>
      <c r="T107" s="39"/>
      <c r="U107" s="39"/>
      <c r="W107" s="933">
        <v>1</v>
      </c>
      <c r="Y107" s="595"/>
    </row>
    <row r="108" spans="1:48" ht="22.5" hidden="1" customHeight="1" outlineLevel="1">
      <c r="B108" s="368" t="str">
        <f>IF(Contents!$B$2=2,"Chuvash Republic","Чувашская республика")</f>
        <v>Чувашская республика</v>
      </c>
      <c r="C108" s="53" t="str">
        <f>IF(Contents!$B$2=2,"people"," человек")</f>
        <v xml:space="preserve"> человек</v>
      </c>
      <c r="D108" s="46" t="s">
        <v>185</v>
      </c>
      <c r="E108" s="46" t="s">
        <v>185</v>
      </c>
      <c r="F108" s="90" t="s">
        <v>185</v>
      </c>
      <c r="G108" s="90" t="s">
        <v>185</v>
      </c>
      <c r="H108" s="90" t="s">
        <v>185</v>
      </c>
      <c r="I108" s="46" t="s">
        <v>185</v>
      </c>
      <c r="J108" s="46" t="s">
        <v>185</v>
      </c>
      <c r="K108" s="46" t="s">
        <v>185</v>
      </c>
      <c r="L108" s="46" t="s">
        <v>185</v>
      </c>
      <c r="M108" s="46" t="s">
        <v>185</v>
      </c>
      <c r="N108" s="89">
        <v>4</v>
      </c>
      <c r="O108" s="29"/>
      <c r="P108" s="558"/>
      <c r="Q108" s="29"/>
      <c r="R108" s="39"/>
      <c r="S108" s="39"/>
      <c r="T108" s="39"/>
      <c r="U108" s="39"/>
      <c r="W108" s="933">
        <v>1</v>
      </c>
      <c r="Y108" s="595"/>
    </row>
    <row r="109" spans="1:48" ht="22.5" customHeight="1" collapsed="1">
      <c r="B109" s="78" t="str">
        <f>IF(Contents!$B$2=2,"Other countries","Прочие страны")</f>
        <v>Прочие страны</v>
      </c>
      <c r="C109" s="53" t="str">
        <f>IF(Contents!$B$2=2,"people"," человек")</f>
        <v xml:space="preserve"> человек</v>
      </c>
      <c r="D109" s="46" t="s">
        <v>185</v>
      </c>
      <c r="E109" s="46" t="s">
        <v>185</v>
      </c>
      <c r="F109" s="46">
        <v>114.79999999999998</v>
      </c>
      <c r="G109" s="46">
        <v>143</v>
      </c>
      <c r="H109" s="46">
        <v>180</v>
      </c>
      <c r="I109" s="46">
        <v>209</v>
      </c>
      <c r="J109" s="46">
        <v>239</v>
      </c>
      <c r="K109" s="107">
        <v>171</v>
      </c>
      <c r="L109" s="107">
        <v>128</v>
      </c>
      <c r="M109" s="107">
        <v>151</v>
      </c>
      <c r="N109" s="89">
        <v>165</v>
      </c>
      <c r="O109" s="29"/>
      <c r="P109" s="558"/>
      <c r="Q109" s="29"/>
      <c r="R109" s="39"/>
      <c r="S109" s="39"/>
      <c r="T109" s="39"/>
      <c r="U109" s="39"/>
      <c r="W109" s="933">
        <v>1</v>
      </c>
      <c r="Y109" s="595"/>
    </row>
    <row r="110" spans="1:48" s="375" customFormat="1" ht="22.5" customHeight="1">
      <c r="A110" s="14"/>
      <c r="B110" s="285"/>
      <c r="C110" s="53"/>
      <c r="D110" s="46"/>
      <c r="E110" s="46"/>
      <c r="F110" s="377"/>
      <c r="G110" s="377"/>
      <c r="H110" s="377"/>
      <c r="I110" s="377"/>
      <c r="J110" s="377"/>
      <c r="K110" s="377"/>
      <c r="L110" s="377"/>
      <c r="M110" s="377"/>
      <c r="N110" s="374"/>
      <c r="O110" s="29"/>
      <c r="P110" s="558"/>
      <c r="Q110" s="29"/>
      <c r="R110" s="39"/>
      <c r="S110" s="39"/>
      <c r="T110" s="39"/>
      <c r="U110" s="39"/>
      <c r="V110" s="589"/>
      <c r="W110" s="933"/>
      <c r="X110" s="589"/>
      <c r="Y110" s="589"/>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row>
    <row r="111" spans="1:48" ht="20.100000000000001" customHeight="1">
      <c r="B111" s="376" t="str">
        <f>IF(Contents!$B$2=2,"Distribution of employees by type of employment contract","Распределение работников по типу договора о найме")</f>
        <v>Распределение работников по типу договора о найме</v>
      </c>
      <c r="C111" s="105"/>
      <c r="D111" s="106"/>
      <c r="E111" s="106"/>
      <c r="F111" s="106"/>
      <c r="G111" s="106"/>
      <c r="H111" s="106"/>
      <c r="I111" s="363"/>
      <c r="J111" s="363"/>
      <c r="K111" s="363"/>
      <c r="L111" s="363"/>
      <c r="M111" s="363"/>
      <c r="N111" s="363"/>
      <c r="O111" s="40"/>
      <c r="P111" s="558"/>
      <c r="Q111" s="40"/>
      <c r="R111" s="39"/>
      <c r="S111" s="39"/>
      <c r="T111" s="39"/>
      <c r="U111" s="39"/>
    </row>
    <row r="112" spans="1:48" ht="34.5" customHeight="1">
      <c r="B112" s="371" t="str">
        <f>IF(Contents!$B$2=2,"Permanent employment contract","Бессрочный договор")</f>
        <v>Бессрочный договор</v>
      </c>
      <c r="C112" s="49" t="str">
        <f>IF(Contents!$B$2=2,"people"," человек")</f>
        <v xml:space="preserve"> человек</v>
      </c>
      <c r="D112" s="372">
        <v>9623</v>
      </c>
      <c r="E112" s="372">
        <v>10523</v>
      </c>
      <c r="F112" s="372">
        <v>11070</v>
      </c>
      <c r="G112" s="372">
        <v>12594</v>
      </c>
      <c r="H112" s="372">
        <v>14040</v>
      </c>
      <c r="I112" s="372">
        <v>15152</v>
      </c>
      <c r="J112" s="372">
        <v>16686</v>
      </c>
      <c r="K112" s="372">
        <v>17846</v>
      </c>
      <c r="L112" s="372">
        <v>18933</v>
      </c>
      <c r="M112" s="372">
        <v>20092</v>
      </c>
      <c r="N112" s="372">
        <v>21943</v>
      </c>
      <c r="O112" s="879"/>
      <c r="P112" s="558" t="str">
        <f>IF(Contents!$B$2=2,"Yes","Да")</f>
        <v>Да</v>
      </c>
      <c r="Q112" s="29"/>
      <c r="R112" s="39" t="s">
        <v>122</v>
      </c>
      <c r="S112" s="39"/>
      <c r="T112" s="39" t="s">
        <v>123</v>
      </c>
      <c r="U112" s="39"/>
      <c r="W112" s="933">
        <v>1</v>
      </c>
      <c r="Y112" s="595"/>
    </row>
    <row r="113" spans="1:48" ht="22.5" customHeight="1">
      <c r="B113" s="364" t="str">
        <f>IF(Contents!$B$2=2,"by gender","по полу")</f>
        <v>по полу</v>
      </c>
      <c r="C113" s="77"/>
      <c r="D113" s="111"/>
      <c r="E113" s="111"/>
      <c r="F113" s="111"/>
      <c r="G113" s="111"/>
      <c r="H113" s="111"/>
      <c r="I113" s="85"/>
      <c r="J113" s="111"/>
      <c r="K113" s="111"/>
      <c r="L113" s="111"/>
      <c r="M113" s="111"/>
      <c r="N113" s="111"/>
      <c r="O113" s="37"/>
      <c r="P113" s="39"/>
      <c r="Q113" s="29"/>
      <c r="R113" s="39" t="s">
        <v>122</v>
      </c>
      <c r="S113" s="39"/>
      <c r="T113" s="39" t="s">
        <v>123</v>
      </c>
      <c r="U113" s="39"/>
      <c r="Y113" s="595"/>
    </row>
    <row r="114" spans="1:48" ht="22.5" customHeight="1">
      <c r="B114" s="93" t="str">
        <f>IF(Contents!$B$2=2,"Male","Мужчины")</f>
        <v>Мужчины</v>
      </c>
      <c r="C114" s="53" t="str">
        <f>IF(Contents!$B$2=2,"people"," человек")</f>
        <v xml:space="preserve"> человек</v>
      </c>
      <c r="D114" s="46" t="s">
        <v>185</v>
      </c>
      <c r="E114" s="46" t="s">
        <v>185</v>
      </c>
      <c r="F114" s="46">
        <v>8469</v>
      </c>
      <c r="G114" s="46">
        <v>9669</v>
      </c>
      <c r="H114" s="46">
        <v>10870</v>
      </c>
      <c r="I114" s="38">
        <v>11776</v>
      </c>
      <c r="J114" s="38">
        <v>13175</v>
      </c>
      <c r="K114" s="38">
        <v>14137</v>
      </c>
      <c r="L114" s="38">
        <v>15115</v>
      </c>
      <c r="M114" s="38">
        <v>16186</v>
      </c>
      <c r="N114" s="89">
        <v>17931</v>
      </c>
      <c r="O114" s="879"/>
      <c r="P114" s="558" t="str">
        <f>IF(Contents!$B$2=2,"Yes","Да")</f>
        <v>Да</v>
      </c>
      <c r="Q114" s="29"/>
      <c r="R114" s="39"/>
      <c r="S114" s="39"/>
      <c r="T114" s="39"/>
      <c r="U114" s="39"/>
      <c r="W114" s="933">
        <v>1</v>
      </c>
      <c r="Y114" s="595"/>
    </row>
    <row r="115" spans="1:48" ht="22.5" customHeight="1">
      <c r="B115" s="93" t="str">
        <f>IF(Contents!$B$2=2,"Female","Женщины")</f>
        <v>Женщины</v>
      </c>
      <c r="C115" s="53" t="str">
        <f>IF(Contents!$B$2=2,"people"," человек")</f>
        <v xml:space="preserve"> человек</v>
      </c>
      <c r="D115" s="46" t="s">
        <v>185</v>
      </c>
      <c r="E115" s="46" t="s">
        <v>185</v>
      </c>
      <c r="F115" s="46">
        <v>2601</v>
      </c>
      <c r="G115" s="46">
        <v>2925</v>
      </c>
      <c r="H115" s="46">
        <v>3170</v>
      </c>
      <c r="I115" s="38">
        <v>3376</v>
      </c>
      <c r="J115" s="38">
        <v>3511</v>
      </c>
      <c r="K115" s="38">
        <v>3709</v>
      </c>
      <c r="L115" s="38">
        <v>3818</v>
      </c>
      <c r="M115" s="38">
        <v>3906</v>
      </c>
      <c r="N115" s="89">
        <v>4012</v>
      </c>
      <c r="O115" s="879"/>
      <c r="P115" s="558" t="str">
        <f>IF(Contents!$B$2=2,"Yes","Да")</f>
        <v>Да</v>
      </c>
      <c r="Q115" s="29"/>
      <c r="R115" s="39"/>
      <c r="S115" s="39"/>
      <c r="T115" s="39"/>
      <c r="U115" s="39"/>
      <c r="W115" s="933">
        <v>1</v>
      </c>
      <c r="Y115" s="595"/>
    </row>
    <row r="116" spans="1:48" ht="22.5" customHeight="1">
      <c r="B116" s="23" t="str">
        <f>IF(Contents!$B$2=2,"by region","по региону")</f>
        <v>по региону</v>
      </c>
      <c r="C116" s="77"/>
      <c r="D116" s="111"/>
      <c r="E116" s="111"/>
      <c r="F116" s="111"/>
      <c r="G116" s="111"/>
      <c r="H116" s="111"/>
      <c r="I116" s="85"/>
      <c r="J116" s="111"/>
      <c r="K116" s="111"/>
      <c r="L116" s="111"/>
      <c r="M116" s="111"/>
      <c r="N116" s="111"/>
      <c r="O116" s="37"/>
      <c r="P116" s="558"/>
      <c r="Q116" s="29"/>
      <c r="R116" s="39" t="s">
        <v>122</v>
      </c>
      <c r="S116" s="39"/>
      <c r="T116" s="39" t="s">
        <v>123</v>
      </c>
      <c r="U116" s="39"/>
      <c r="Y116" s="595"/>
    </row>
    <row r="117" spans="1:48" ht="22.5" customHeight="1">
      <c r="B117" s="177" t="str">
        <f>IF(Contents!$B$2=2,"Russian Federation","Российская Федерация")</f>
        <v>Российская Федерация</v>
      </c>
      <c r="C117" s="53" t="str">
        <f>IF(Contents!$B$2=2,"people"," человек")</f>
        <v xml:space="preserve"> человек</v>
      </c>
      <c r="D117" s="46" t="s">
        <v>185</v>
      </c>
      <c r="E117" s="46" t="s">
        <v>185</v>
      </c>
      <c r="F117" s="46">
        <v>10975</v>
      </c>
      <c r="G117" s="46">
        <v>12491</v>
      </c>
      <c r="H117" s="46">
        <v>13895</v>
      </c>
      <c r="I117" s="46">
        <v>14970</v>
      </c>
      <c r="J117" s="46">
        <v>16477</v>
      </c>
      <c r="K117" s="46">
        <v>17746</v>
      </c>
      <c r="L117" s="46">
        <v>18829</v>
      </c>
      <c r="M117" s="46">
        <v>19973</v>
      </c>
      <c r="N117" s="104">
        <v>21818</v>
      </c>
      <c r="O117" s="879"/>
      <c r="P117" s="558" t="str">
        <f>IF(Contents!$B$2=2,"Yes","Да")</f>
        <v>Да</v>
      </c>
      <c r="Q117" s="38"/>
      <c r="R117" s="39"/>
      <c r="S117" s="39"/>
      <c r="T117" s="39"/>
      <c r="U117" s="39"/>
      <c r="W117" s="933">
        <v>1</v>
      </c>
      <c r="Y117" s="595"/>
    </row>
    <row r="118" spans="1:48" ht="22.5" customHeight="1">
      <c r="B118" s="207" t="str">
        <f>IF(Contents!$B$2=2,"Yamal-Nenets Autonomous Region","Ямало-Ненецкий автономный округ")</f>
        <v>Ямало-Ненецкий автономный округ</v>
      </c>
      <c r="C118" s="53" t="str">
        <f>IF(Contents!$B$2=2,"people"," человек")</f>
        <v xml:space="preserve"> человек</v>
      </c>
      <c r="D118" s="46" t="s">
        <v>185</v>
      </c>
      <c r="E118" s="46" t="s">
        <v>185</v>
      </c>
      <c r="F118" s="46">
        <v>7372</v>
      </c>
      <c r="G118" s="46">
        <v>8292</v>
      </c>
      <c r="H118" s="46">
        <v>9013</v>
      </c>
      <c r="I118" s="46">
        <v>9462</v>
      </c>
      <c r="J118" s="46">
        <v>10385</v>
      </c>
      <c r="K118" s="38">
        <v>11021</v>
      </c>
      <c r="L118" s="38">
        <v>11997</v>
      </c>
      <c r="M118" s="38">
        <v>12655</v>
      </c>
      <c r="N118" s="89">
        <v>14092</v>
      </c>
      <c r="O118" s="879"/>
      <c r="P118" s="558" t="str">
        <f>IF(Contents!$B$2=2,"Yes","Да")</f>
        <v>Да</v>
      </c>
      <c r="Q118" s="38"/>
      <c r="R118" s="39"/>
      <c r="S118" s="39"/>
      <c r="T118" s="39"/>
      <c r="U118" s="39"/>
      <c r="W118" s="933">
        <v>1</v>
      </c>
      <c r="Y118" s="595"/>
    </row>
    <row r="119" spans="1:48" ht="22.5" customHeight="1">
      <c r="B119" s="207" t="str">
        <f>IF(Contents!$B$2=2,"Moscow and Moscow Region","Москва и Московская область")</f>
        <v>Москва и Московская область</v>
      </c>
      <c r="C119" s="53" t="str">
        <f>IF(Contents!$B$2=2,"people"," человек")</f>
        <v xml:space="preserve"> человек</v>
      </c>
      <c r="D119" s="46" t="s">
        <v>185</v>
      </c>
      <c r="E119" s="46" t="s">
        <v>185</v>
      </c>
      <c r="F119" s="46">
        <v>1247</v>
      </c>
      <c r="G119" s="46">
        <v>1467</v>
      </c>
      <c r="H119" s="46">
        <v>1717</v>
      </c>
      <c r="I119" s="46">
        <v>1929</v>
      </c>
      <c r="J119" s="46">
        <v>2131</v>
      </c>
      <c r="K119" s="38">
        <v>2151</v>
      </c>
      <c r="L119" s="38">
        <v>2335</v>
      </c>
      <c r="M119" s="38">
        <v>2329</v>
      </c>
      <c r="N119" s="89">
        <v>2427</v>
      </c>
      <c r="O119" s="879"/>
      <c r="P119" s="558" t="str">
        <f>IF(Contents!$B$2=2,"Yes","Да")</f>
        <v>Да</v>
      </c>
      <c r="Q119" s="38"/>
      <c r="R119" s="39"/>
      <c r="S119" s="39"/>
      <c r="T119" s="39"/>
      <c r="U119" s="39"/>
      <c r="W119" s="933">
        <v>1</v>
      </c>
      <c r="Y119" s="595"/>
    </row>
    <row r="120" spans="1:48" ht="22.5" customHeight="1">
      <c r="B120" s="207" t="str">
        <f>IF(Contents!$B$2=2,"Chelyabinsk Region","Челябинская область")</f>
        <v>Челябинская область</v>
      </c>
      <c r="C120" s="53" t="str">
        <f>IF(Contents!$B$2=2,"people"," человек")</f>
        <v xml:space="preserve"> человек</v>
      </c>
      <c r="D120" s="46" t="s">
        <v>185</v>
      </c>
      <c r="E120" s="46" t="s">
        <v>185</v>
      </c>
      <c r="F120" s="46">
        <v>873</v>
      </c>
      <c r="G120" s="46">
        <v>912</v>
      </c>
      <c r="H120" s="46">
        <v>1134</v>
      </c>
      <c r="I120" s="46">
        <v>1232</v>
      </c>
      <c r="J120" s="46">
        <v>1233</v>
      </c>
      <c r="K120" s="38">
        <v>1229</v>
      </c>
      <c r="L120" s="38">
        <v>1172</v>
      </c>
      <c r="M120" s="38">
        <v>1220</v>
      </c>
      <c r="N120" s="89">
        <v>1265</v>
      </c>
      <c r="O120" s="879"/>
      <c r="P120" s="558" t="str">
        <f>IF(Contents!$B$2=2,"Yes","Да")</f>
        <v>Да</v>
      </c>
      <c r="Q120" s="38"/>
      <c r="R120" s="39"/>
      <c r="S120" s="39"/>
      <c r="T120" s="39"/>
      <c r="U120" s="39"/>
      <c r="W120" s="933">
        <v>1</v>
      </c>
      <c r="Y120" s="595"/>
    </row>
    <row r="121" spans="1:48" ht="22.5" customHeight="1">
      <c r="B121" s="207" t="str">
        <f>IF(Contents!$B$2=2,"St. Petersburg and Leningrad Region","Санкт-Петербург и Ленинградская область")</f>
        <v>Санкт-Петербург и Ленинградская область</v>
      </c>
      <c r="C121" s="53" t="str">
        <f>IF(Contents!$B$2=2,"people"," человек")</f>
        <v xml:space="preserve"> человек</v>
      </c>
      <c r="D121" s="46" t="s">
        <v>185</v>
      </c>
      <c r="E121" s="46" t="s">
        <v>185</v>
      </c>
      <c r="F121" s="46">
        <v>602</v>
      </c>
      <c r="G121" s="46">
        <v>764</v>
      </c>
      <c r="H121" s="46">
        <v>850</v>
      </c>
      <c r="I121" s="46">
        <v>894</v>
      </c>
      <c r="J121" s="46">
        <v>1015</v>
      </c>
      <c r="K121" s="38">
        <v>1126</v>
      </c>
      <c r="L121" s="38">
        <v>1201</v>
      </c>
      <c r="M121" s="38">
        <v>1273</v>
      </c>
      <c r="N121" s="89">
        <v>1348</v>
      </c>
      <c r="O121" s="879"/>
      <c r="P121" s="558" t="str">
        <f>IF(Contents!$B$2=2,"Yes","Да")</f>
        <v>Да</v>
      </c>
      <c r="Q121" s="38"/>
      <c r="R121" s="39"/>
      <c r="S121" s="39"/>
      <c r="T121" s="39"/>
      <c r="U121" s="39"/>
      <c r="W121" s="933">
        <v>1</v>
      </c>
      <c r="Y121" s="595"/>
    </row>
    <row r="122" spans="1:48" s="375" customFormat="1" ht="22.5" customHeight="1">
      <c r="A122" s="14"/>
      <c r="B122" s="285" t="str">
        <f>IF(Contents!$B$2=2,"Other regions","Прочие регионы")</f>
        <v>Прочие регионы</v>
      </c>
      <c r="C122" s="53" t="str">
        <f>IF(Contents!$B$2=2,"people"," человек")</f>
        <v xml:space="preserve"> человек</v>
      </c>
      <c r="D122" s="373" t="s">
        <v>185</v>
      </c>
      <c r="E122" s="46" t="s">
        <v>185</v>
      </c>
      <c r="F122" s="38">
        <v>881</v>
      </c>
      <c r="G122" s="38">
        <v>1056</v>
      </c>
      <c r="H122" s="38">
        <v>1181</v>
      </c>
      <c r="I122" s="38">
        <v>1453</v>
      </c>
      <c r="J122" s="38">
        <v>1713</v>
      </c>
      <c r="K122" s="38">
        <v>2219</v>
      </c>
      <c r="L122" s="38">
        <v>2124</v>
      </c>
      <c r="M122" s="38">
        <v>2496</v>
      </c>
      <c r="N122" s="89">
        <v>2686</v>
      </c>
      <c r="O122" s="879"/>
      <c r="P122" s="558" t="str">
        <f>IF(Contents!$B$2=2,"Yes","Да")</f>
        <v>Да</v>
      </c>
      <c r="Q122" s="38"/>
      <c r="R122" s="39"/>
      <c r="S122" s="39"/>
      <c r="T122" s="39"/>
      <c r="U122" s="39"/>
      <c r="V122" s="589"/>
      <c r="W122" s="933">
        <v>1</v>
      </c>
      <c r="X122" s="589"/>
      <c r="Y122" s="595"/>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row>
    <row r="123" spans="1:48" ht="22.5" hidden="1" customHeight="1" outlineLevel="1">
      <c r="B123" s="367" t="str">
        <f>IF(Contents!$B$2=2,"Tyumen Region","Тюменская область")</f>
        <v>Тюменская область</v>
      </c>
      <c r="C123" s="53" t="str">
        <f>IF(Contents!$B$2=2,"people"," человек")</f>
        <v xml:space="preserve"> человек</v>
      </c>
      <c r="D123" s="46" t="s">
        <v>185</v>
      </c>
      <c r="E123" s="46" t="s">
        <v>185</v>
      </c>
      <c r="F123" s="46">
        <v>217</v>
      </c>
      <c r="G123" s="38">
        <v>282</v>
      </c>
      <c r="H123" s="46">
        <v>393</v>
      </c>
      <c r="I123" s="46">
        <v>510</v>
      </c>
      <c r="J123" s="46">
        <v>653</v>
      </c>
      <c r="K123" s="107">
        <v>728</v>
      </c>
      <c r="L123" s="107">
        <v>797</v>
      </c>
      <c r="M123" s="107">
        <v>844</v>
      </c>
      <c r="N123" s="89">
        <v>947</v>
      </c>
      <c r="O123" s="879"/>
      <c r="P123" s="558" t="str">
        <f>IF(Contents!$B$2=2,"Yes","Да")</f>
        <v>Да</v>
      </c>
      <c r="Q123" s="38"/>
      <c r="R123" s="39"/>
      <c r="S123" s="39"/>
      <c r="T123" s="39"/>
      <c r="U123" s="39"/>
      <c r="W123" s="933">
        <v>1</v>
      </c>
      <c r="Y123" s="595"/>
    </row>
    <row r="124" spans="1:48" ht="22.5" hidden="1" customHeight="1" outlineLevel="1">
      <c r="B124" s="367" t="str">
        <f>IF(Contents!$B$2=2,"Rostov Region","Ростовская область")</f>
        <v>Ростовская область</v>
      </c>
      <c r="C124" s="53" t="str">
        <f>IF(Contents!$B$2=2,"people"," человек")</f>
        <v xml:space="preserve"> человек</v>
      </c>
      <c r="D124" s="46" t="s">
        <v>185</v>
      </c>
      <c r="E124" s="46" t="s">
        <v>185</v>
      </c>
      <c r="F124" s="46">
        <v>196</v>
      </c>
      <c r="G124" s="46">
        <v>195</v>
      </c>
      <c r="H124" s="46">
        <v>195</v>
      </c>
      <c r="I124" s="46">
        <v>206</v>
      </c>
      <c r="J124" s="46">
        <v>200</v>
      </c>
      <c r="K124" s="91">
        <v>204</v>
      </c>
      <c r="L124" s="91">
        <v>184</v>
      </c>
      <c r="M124" s="91">
        <v>201</v>
      </c>
      <c r="N124" s="89">
        <v>202</v>
      </c>
      <c r="O124" s="879"/>
      <c r="P124" s="558" t="str">
        <f>IF(Contents!$B$2=2,"Yes","Да")</f>
        <v>Да</v>
      </c>
      <c r="Q124" s="38"/>
      <c r="R124" s="39"/>
      <c r="S124" s="39"/>
      <c r="T124" s="39"/>
      <c r="U124" s="39"/>
      <c r="W124" s="933">
        <v>1</v>
      </c>
      <c r="Y124" s="595"/>
    </row>
    <row r="125" spans="1:48" ht="22.5" hidden="1" customHeight="1" outlineLevel="1">
      <c r="B125" s="367" t="str">
        <f>IF(Contents!$B$2=2,"Kostroma Region","Костромская область")</f>
        <v>Костромская область</v>
      </c>
      <c r="C125" s="53" t="str">
        <f>IF(Contents!$B$2=2,"people"," человек")</f>
        <v xml:space="preserve"> человек</v>
      </c>
      <c r="D125" s="46" t="s">
        <v>185</v>
      </c>
      <c r="E125" s="46" t="s">
        <v>185</v>
      </c>
      <c r="F125" s="46">
        <v>169</v>
      </c>
      <c r="G125" s="46">
        <v>172</v>
      </c>
      <c r="H125" s="46">
        <v>171</v>
      </c>
      <c r="I125" s="46">
        <v>177</v>
      </c>
      <c r="J125" s="46">
        <v>186</v>
      </c>
      <c r="K125" s="91">
        <v>191</v>
      </c>
      <c r="L125" s="91">
        <v>187</v>
      </c>
      <c r="M125" s="91">
        <v>185</v>
      </c>
      <c r="N125" s="89">
        <v>194</v>
      </c>
      <c r="O125" s="879"/>
      <c r="P125" s="558" t="str">
        <f>IF(Contents!$B$2=2,"Yes","Да")</f>
        <v>Да</v>
      </c>
      <c r="Q125" s="38"/>
      <c r="R125" s="39"/>
      <c r="S125" s="39"/>
      <c r="T125" s="39"/>
      <c r="U125" s="39"/>
      <c r="W125" s="933">
        <v>1</v>
      </c>
      <c r="Y125" s="595"/>
    </row>
    <row r="126" spans="1:48" ht="22.5" hidden="1" customHeight="1" outlineLevel="1">
      <c r="B126" s="367" t="str">
        <f>IF(Contents!$B$2=2,"Volgograd Region","Волгоградская область")</f>
        <v>Волгоградская область</v>
      </c>
      <c r="C126" s="53" t="str">
        <f>IF(Contents!$B$2=2,"people"," человек")</f>
        <v xml:space="preserve"> человек</v>
      </c>
      <c r="D126" s="46" t="s">
        <v>185</v>
      </c>
      <c r="E126" s="46" t="s">
        <v>185</v>
      </c>
      <c r="F126" s="46">
        <v>175</v>
      </c>
      <c r="G126" s="46">
        <v>185</v>
      </c>
      <c r="H126" s="46">
        <v>187</v>
      </c>
      <c r="I126" s="46">
        <v>195</v>
      </c>
      <c r="J126" s="46">
        <v>198</v>
      </c>
      <c r="K126" s="91">
        <v>206</v>
      </c>
      <c r="L126" s="91">
        <v>197</v>
      </c>
      <c r="M126" s="91">
        <v>199</v>
      </c>
      <c r="N126" s="89">
        <v>207</v>
      </c>
      <c r="O126" s="879"/>
      <c r="P126" s="558" t="str">
        <f>IF(Contents!$B$2=2,"Yes","Да")</f>
        <v>Да</v>
      </c>
      <c r="Q126" s="38"/>
      <c r="R126" s="39"/>
      <c r="S126" s="39"/>
      <c r="T126" s="39"/>
      <c r="U126" s="39"/>
      <c r="W126" s="933">
        <v>1</v>
      </c>
      <c r="Y126" s="595"/>
    </row>
    <row r="127" spans="1:48" ht="22.5" hidden="1" customHeight="1" outlineLevel="1">
      <c r="B127" s="367" t="str">
        <f>IF(Contents!$B$2=2,"Murmansk Region","Мурманская область")</f>
        <v>Мурманская область</v>
      </c>
      <c r="C127" s="53" t="str">
        <f>IF(Contents!$B$2=2,"people"," человек")</f>
        <v xml:space="preserve"> человек</v>
      </c>
      <c r="D127" s="46" t="s">
        <v>185</v>
      </c>
      <c r="E127" s="46" t="s">
        <v>185</v>
      </c>
      <c r="F127" s="46">
        <v>84</v>
      </c>
      <c r="G127" s="46">
        <v>108</v>
      </c>
      <c r="H127" s="46">
        <v>110</v>
      </c>
      <c r="I127" s="46">
        <v>202</v>
      </c>
      <c r="J127" s="46">
        <v>286</v>
      </c>
      <c r="K127" s="91">
        <v>665</v>
      </c>
      <c r="L127" s="91">
        <v>504</v>
      </c>
      <c r="M127" s="91">
        <v>564</v>
      </c>
      <c r="N127" s="89">
        <v>634</v>
      </c>
      <c r="O127" s="879"/>
      <c r="P127" s="558" t="str">
        <f>IF(Contents!$B$2=2,"Yes","Да")</f>
        <v>Да</v>
      </c>
      <c r="Q127" s="38"/>
      <c r="R127" s="39"/>
      <c r="S127" s="39"/>
      <c r="T127" s="39"/>
      <c r="U127" s="39"/>
      <c r="W127" s="933">
        <v>1</v>
      </c>
      <c r="Y127" s="595"/>
    </row>
    <row r="128" spans="1:48" ht="22.5" hidden="1" customHeight="1" outlineLevel="1">
      <c r="B128" s="367" t="str">
        <f>IF(Contents!$B$2=2,"Khanty-Mansiysk Autonomous Region","Ханты-Мансийский автономный округ")</f>
        <v>Ханты-Мансийский автономный округ</v>
      </c>
      <c r="C128" s="53" t="str">
        <f>IF(Contents!$B$2=2,"people"," человек")</f>
        <v xml:space="preserve"> человек</v>
      </c>
      <c r="D128" s="46" t="s">
        <v>185</v>
      </c>
      <c r="E128" s="46" t="s">
        <v>185</v>
      </c>
      <c r="F128" s="46">
        <v>0</v>
      </c>
      <c r="G128" s="46">
        <v>67</v>
      </c>
      <c r="H128" s="46">
        <v>64</v>
      </c>
      <c r="I128" s="46">
        <v>62</v>
      </c>
      <c r="J128" s="46">
        <v>64</v>
      </c>
      <c r="K128" s="91">
        <v>66</v>
      </c>
      <c r="L128" s="91">
        <v>63</v>
      </c>
      <c r="M128" s="91">
        <v>64</v>
      </c>
      <c r="N128" s="89">
        <v>61</v>
      </c>
      <c r="O128" s="879"/>
      <c r="P128" s="558" t="str">
        <f>IF(Contents!$B$2=2,"Yes","Да")</f>
        <v>Да</v>
      </c>
      <c r="Q128" s="38"/>
      <c r="R128" s="39"/>
      <c r="S128" s="39"/>
      <c r="T128" s="39"/>
      <c r="U128" s="39"/>
      <c r="W128" s="933">
        <v>1</v>
      </c>
      <c r="Y128" s="595"/>
    </row>
    <row r="129" spans="1:48" ht="22.5" hidden="1" customHeight="1" outlineLevel="1">
      <c r="B129" s="367" t="str">
        <f>IF(Contents!$B$2=2,"Perm Territory","Пермский край")</f>
        <v>Пермский край</v>
      </c>
      <c r="C129" s="53" t="str">
        <f>IF(Contents!$B$2=2,"people"," человек")</f>
        <v xml:space="preserve"> человек</v>
      </c>
      <c r="D129" s="46" t="s">
        <v>185</v>
      </c>
      <c r="E129" s="46" t="s">
        <v>185</v>
      </c>
      <c r="F129" s="46">
        <v>17</v>
      </c>
      <c r="G129" s="46">
        <v>19</v>
      </c>
      <c r="H129" s="46">
        <v>19</v>
      </c>
      <c r="I129" s="46">
        <v>19</v>
      </c>
      <c r="J129" s="46">
        <v>19</v>
      </c>
      <c r="K129" s="91">
        <v>19</v>
      </c>
      <c r="L129" s="91">
        <v>19</v>
      </c>
      <c r="M129" s="91">
        <v>19</v>
      </c>
      <c r="N129" s="89">
        <v>19</v>
      </c>
      <c r="O129" s="879"/>
      <c r="P129" s="558" t="str">
        <f>IF(Contents!$B$2=2,"Yes","Да")</f>
        <v>Да</v>
      </c>
      <c r="Q129" s="38"/>
      <c r="R129" s="39"/>
      <c r="S129" s="39"/>
      <c r="T129" s="39"/>
      <c r="U129" s="39"/>
      <c r="W129" s="933">
        <v>1</v>
      </c>
      <c r="Y129" s="595"/>
    </row>
    <row r="130" spans="1:48" ht="22.5" hidden="1" customHeight="1" outlineLevel="1">
      <c r="B130" s="367" t="str">
        <f>IF(Contents!$B$2=2,"Astrakhan Region","Астраханская область")</f>
        <v>Астраханская область</v>
      </c>
      <c r="C130" s="53" t="str">
        <f>IF(Contents!$B$2=2,"people"," человек")</f>
        <v xml:space="preserve"> человек</v>
      </c>
      <c r="D130" s="46" t="s">
        <v>185</v>
      </c>
      <c r="E130" s="46" t="s">
        <v>185</v>
      </c>
      <c r="F130" s="46">
        <v>18</v>
      </c>
      <c r="G130" s="46">
        <v>18</v>
      </c>
      <c r="H130" s="46">
        <v>19</v>
      </c>
      <c r="I130" s="46">
        <v>20</v>
      </c>
      <c r="J130" s="46">
        <v>20</v>
      </c>
      <c r="K130" s="91">
        <v>21</v>
      </c>
      <c r="L130" s="91">
        <v>24</v>
      </c>
      <c r="M130" s="91">
        <v>24</v>
      </c>
      <c r="N130" s="89">
        <v>24</v>
      </c>
      <c r="O130" s="879"/>
      <c r="P130" s="558" t="str">
        <f>IF(Contents!$B$2=2,"Yes","Да")</f>
        <v>Да</v>
      </c>
      <c r="Q130" s="38"/>
      <c r="R130" s="39"/>
      <c r="S130" s="39"/>
      <c r="T130" s="39"/>
      <c r="U130" s="39"/>
      <c r="W130" s="933">
        <v>1</v>
      </c>
      <c r="Y130" s="595"/>
    </row>
    <row r="131" spans="1:48" ht="22.5" hidden="1" customHeight="1" outlineLevel="1">
      <c r="B131" s="367" t="str">
        <f>IF(Contents!$B$2=2,"Krasnodar Territory","Краснодарский край")</f>
        <v>Краснодарский край</v>
      </c>
      <c r="C131" s="53" t="str">
        <f>IF(Contents!$B$2=2,"people"," человек")</f>
        <v xml:space="preserve"> человек</v>
      </c>
      <c r="D131" s="46" t="s">
        <v>185</v>
      </c>
      <c r="E131" s="46" t="s">
        <v>185</v>
      </c>
      <c r="F131" s="46">
        <v>0</v>
      </c>
      <c r="G131" s="46">
        <v>4</v>
      </c>
      <c r="H131" s="46">
        <v>4</v>
      </c>
      <c r="I131" s="46">
        <v>4</v>
      </c>
      <c r="J131" s="46">
        <v>2</v>
      </c>
      <c r="K131" s="91">
        <v>3</v>
      </c>
      <c r="L131" s="91">
        <v>1</v>
      </c>
      <c r="M131" s="91">
        <v>0</v>
      </c>
      <c r="N131" s="89">
        <v>0</v>
      </c>
      <c r="O131" s="879"/>
      <c r="P131" s="558" t="str">
        <f>IF(Contents!$B$2=2,"Yes","Да")</f>
        <v>Да</v>
      </c>
      <c r="Q131" s="38"/>
      <c r="R131" s="39"/>
      <c r="S131" s="39"/>
      <c r="T131" s="39"/>
      <c r="U131" s="39"/>
      <c r="W131" s="933">
        <v>1</v>
      </c>
      <c r="Y131" s="595"/>
    </row>
    <row r="132" spans="1:48" ht="22.5" hidden="1" customHeight="1" outlineLevel="1">
      <c r="B132" s="367" t="str">
        <f>IF(Contents!$B$2=2,"Samara Region","Самарская область")</f>
        <v>Самарская область</v>
      </c>
      <c r="C132" s="53" t="str">
        <f>IF(Contents!$B$2=2,"people"," человек")</f>
        <v xml:space="preserve"> человек</v>
      </c>
      <c r="D132" s="46" t="s">
        <v>185</v>
      </c>
      <c r="E132" s="46" t="s">
        <v>185</v>
      </c>
      <c r="F132" s="46">
        <v>3</v>
      </c>
      <c r="G132" s="46">
        <v>3</v>
      </c>
      <c r="H132" s="46">
        <v>5</v>
      </c>
      <c r="I132" s="46">
        <v>8</v>
      </c>
      <c r="J132" s="46">
        <v>17</v>
      </c>
      <c r="K132" s="91">
        <v>18</v>
      </c>
      <c r="L132" s="91">
        <v>22</v>
      </c>
      <c r="M132" s="91">
        <v>33</v>
      </c>
      <c r="N132" s="89">
        <v>35</v>
      </c>
      <c r="O132" s="879"/>
      <c r="P132" s="558" t="str">
        <f>IF(Contents!$B$2=2,"Yes","Да")</f>
        <v>Да</v>
      </c>
      <c r="Q132" s="38"/>
      <c r="R132" s="39"/>
      <c r="S132" s="39"/>
      <c r="T132" s="39"/>
      <c r="U132" s="39"/>
      <c r="W132" s="933">
        <v>1</v>
      </c>
      <c r="Y132" s="595"/>
    </row>
    <row r="133" spans="1:48" ht="22.5" hidden="1" customHeight="1" outlineLevel="1">
      <c r="B133" s="367" t="str">
        <f>IF(Contents!$B$2=2,"Arkhangelsk Region","Архангельская область")</f>
        <v>Архангельская область</v>
      </c>
      <c r="C133" s="53" t="str">
        <f>IF(Contents!$B$2=2,"people"," человек")</f>
        <v xml:space="preserve"> человек</v>
      </c>
      <c r="D133" s="46" t="s">
        <v>185</v>
      </c>
      <c r="E133" s="46" t="s">
        <v>185</v>
      </c>
      <c r="F133" s="46">
        <v>2</v>
      </c>
      <c r="G133" s="46">
        <v>2</v>
      </c>
      <c r="H133" s="46">
        <v>2</v>
      </c>
      <c r="I133" s="46">
        <v>2</v>
      </c>
      <c r="J133" s="46">
        <v>2</v>
      </c>
      <c r="K133" s="91">
        <v>2</v>
      </c>
      <c r="L133" s="91">
        <v>2</v>
      </c>
      <c r="M133" s="91">
        <v>2</v>
      </c>
      <c r="N133" s="89">
        <v>3</v>
      </c>
      <c r="O133" s="879"/>
      <c r="P133" s="558" t="str">
        <f>IF(Contents!$B$2=2,"Yes","Да")</f>
        <v>Да</v>
      </c>
      <c r="Q133" s="38"/>
      <c r="R133" s="39"/>
      <c r="S133" s="39"/>
      <c r="T133" s="39"/>
      <c r="U133" s="39"/>
      <c r="W133" s="933">
        <v>1</v>
      </c>
      <c r="Y133" s="595"/>
    </row>
    <row r="134" spans="1:48" ht="22.5" hidden="1" customHeight="1" outlineLevel="1">
      <c r="B134" s="367" t="str">
        <f>IF(Contents!$B$2=2,"Kamchatka Territory","Камчатский край")</f>
        <v>Камчатский край</v>
      </c>
      <c r="C134" s="53" t="str">
        <f>IF(Contents!$B$2=2,"people"," человек")</f>
        <v xml:space="preserve"> человек</v>
      </c>
      <c r="D134" s="46" t="s">
        <v>185</v>
      </c>
      <c r="E134" s="46" t="s">
        <v>185</v>
      </c>
      <c r="F134" s="46">
        <v>0</v>
      </c>
      <c r="G134" s="46">
        <v>1</v>
      </c>
      <c r="H134" s="46">
        <v>2</v>
      </c>
      <c r="I134" s="46">
        <v>3</v>
      </c>
      <c r="J134" s="46">
        <v>14</v>
      </c>
      <c r="K134" s="91">
        <v>19</v>
      </c>
      <c r="L134" s="91">
        <v>42</v>
      </c>
      <c r="M134" s="91">
        <v>87</v>
      </c>
      <c r="N134" s="89">
        <v>96</v>
      </c>
      <c r="O134" s="879"/>
      <c r="P134" s="558" t="str">
        <f>IF(Contents!$B$2=2,"Yes","Да")</f>
        <v>Да</v>
      </c>
      <c r="Q134" s="38"/>
      <c r="R134" s="39"/>
      <c r="S134" s="39"/>
      <c r="T134" s="39"/>
      <c r="U134" s="39"/>
      <c r="W134" s="933">
        <v>1</v>
      </c>
      <c r="Y134" s="595"/>
    </row>
    <row r="135" spans="1:48" ht="22.5" hidden="1" customHeight="1" outlineLevel="1">
      <c r="B135" s="367" t="str">
        <f>IF(Contents!$B$2=2,"Republic of Bashkortostan","Республика Башкортостан")</f>
        <v>Республика Башкортостан</v>
      </c>
      <c r="C135" s="53" t="str">
        <f>IF(Contents!$B$2=2,"people"," человек")</f>
        <v xml:space="preserve"> человек</v>
      </c>
      <c r="D135" s="46" t="s">
        <v>185</v>
      </c>
      <c r="E135" s="46" t="s">
        <v>185</v>
      </c>
      <c r="F135" s="46">
        <v>0</v>
      </c>
      <c r="G135" s="46">
        <v>0</v>
      </c>
      <c r="H135" s="46">
        <v>9</v>
      </c>
      <c r="I135" s="46">
        <v>20</v>
      </c>
      <c r="J135" s="46">
        <v>17</v>
      </c>
      <c r="K135" s="91">
        <v>20</v>
      </c>
      <c r="L135" s="91">
        <v>18</v>
      </c>
      <c r="M135" s="91">
        <v>22</v>
      </c>
      <c r="N135" s="89">
        <v>21</v>
      </c>
      <c r="O135" s="879"/>
      <c r="P135" s="558" t="str">
        <f>IF(Contents!$B$2=2,"Yes","Да")</f>
        <v>Да</v>
      </c>
      <c r="Q135" s="38"/>
      <c r="R135" s="39"/>
      <c r="S135" s="39"/>
      <c r="T135" s="39"/>
      <c r="U135" s="39"/>
      <c r="W135" s="933">
        <v>1</v>
      </c>
      <c r="Y135" s="595"/>
    </row>
    <row r="136" spans="1:48" ht="22.5" hidden="1" customHeight="1" outlineLevel="1">
      <c r="B136" s="367" t="str">
        <f>IF(Contents!$B$2=2,"Novosibirsk Region","Новосибирская область")</f>
        <v>Новосибирская область</v>
      </c>
      <c r="C136" s="53" t="str">
        <f>IF(Contents!$B$2=2,"people"," человек")</f>
        <v xml:space="preserve"> человек</v>
      </c>
      <c r="D136" s="46" t="s">
        <v>185</v>
      </c>
      <c r="E136" s="46" t="s">
        <v>185</v>
      </c>
      <c r="F136" s="46">
        <v>0</v>
      </c>
      <c r="G136" s="46">
        <v>0</v>
      </c>
      <c r="H136" s="46">
        <v>1</v>
      </c>
      <c r="I136" s="46">
        <v>1</v>
      </c>
      <c r="J136" s="46">
        <v>1</v>
      </c>
      <c r="K136" s="91">
        <v>0</v>
      </c>
      <c r="L136" s="91">
        <v>0</v>
      </c>
      <c r="M136" s="91">
        <v>0</v>
      </c>
      <c r="N136" s="89">
        <v>0</v>
      </c>
      <c r="O136" s="879"/>
      <c r="P136" s="558" t="str">
        <f>IF(Contents!$B$2=2,"Yes","Да")</f>
        <v>Да</v>
      </c>
      <c r="Q136" s="38"/>
      <c r="R136" s="39"/>
      <c r="S136" s="39"/>
      <c r="T136" s="39"/>
      <c r="U136" s="39"/>
      <c r="W136" s="933">
        <v>1</v>
      </c>
      <c r="Y136" s="595"/>
    </row>
    <row r="137" spans="1:48" s="375" customFormat="1" ht="22.5" hidden="1" customHeight="1" outlineLevel="1">
      <c r="A137" s="14"/>
      <c r="B137" s="367" t="str">
        <f>IF(Contents!$B$2=2,"Stavropol Territory","Ставропольский край")</f>
        <v>Ставропольский край</v>
      </c>
      <c r="C137" s="53" t="str">
        <f>IF(Contents!$B$2=2,"people"," человек")</f>
        <v xml:space="preserve"> человек</v>
      </c>
      <c r="D137" s="373" t="s">
        <v>185</v>
      </c>
      <c r="E137" s="373" t="s">
        <v>185</v>
      </c>
      <c r="F137" s="100">
        <v>0</v>
      </c>
      <c r="G137" s="100">
        <v>0</v>
      </c>
      <c r="H137" s="100">
        <v>0</v>
      </c>
      <c r="I137" s="139">
        <v>0</v>
      </c>
      <c r="J137" s="101">
        <v>0</v>
      </c>
      <c r="K137" s="139">
        <v>0</v>
      </c>
      <c r="L137" s="139">
        <v>0</v>
      </c>
      <c r="M137" s="139">
        <v>0</v>
      </c>
      <c r="N137" s="89">
        <v>0</v>
      </c>
      <c r="O137" s="879"/>
      <c r="P137" s="558" t="str">
        <f>IF(Contents!$B$2=2,"Yes","Да")</f>
        <v>Да</v>
      </c>
      <c r="Q137" s="38"/>
      <c r="R137" s="39"/>
      <c r="S137" s="39"/>
      <c r="T137" s="39"/>
      <c r="U137" s="39"/>
      <c r="V137" s="589"/>
      <c r="W137" s="933">
        <v>1</v>
      </c>
      <c r="X137" s="589"/>
      <c r="Y137" s="595"/>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row>
    <row r="138" spans="1:48" ht="22.5" hidden="1" customHeight="1" outlineLevel="1">
      <c r="B138" s="367" t="str">
        <f>IF(Contents!$B$2=2,"Sverdlovsk Region","Свердловская область")</f>
        <v>Свердловская область</v>
      </c>
      <c r="C138" s="53" t="str">
        <f>IF(Contents!$B$2=2,"people"," человек")</f>
        <v xml:space="preserve"> человек</v>
      </c>
      <c r="D138" s="46" t="s">
        <v>185</v>
      </c>
      <c r="E138" s="46" t="s">
        <v>185</v>
      </c>
      <c r="F138" s="46">
        <v>0</v>
      </c>
      <c r="G138" s="46">
        <v>0</v>
      </c>
      <c r="H138" s="46">
        <v>0</v>
      </c>
      <c r="I138" s="46">
        <v>10</v>
      </c>
      <c r="J138" s="46">
        <v>12</v>
      </c>
      <c r="K138" s="91">
        <v>20</v>
      </c>
      <c r="L138" s="91">
        <v>21</v>
      </c>
      <c r="M138" s="91">
        <v>15</v>
      </c>
      <c r="N138" s="89">
        <v>14</v>
      </c>
      <c r="O138" s="879"/>
      <c r="P138" s="558" t="str">
        <f>IF(Contents!$B$2=2,"Yes","Да")</f>
        <v>Да</v>
      </c>
      <c r="Q138" s="38"/>
      <c r="R138" s="39"/>
      <c r="S138" s="39"/>
      <c r="T138" s="39"/>
      <c r="U138" s="39"/>
      <c r="W138" s="933">
        <v>1</v>
      </c>
      <c r="Y138" s="595"/>
    </row>
    <row r="139" spans="1:48" ht="22.5" hidden="1" customHeight="1" outlineLevel="1">
      <c r="B139" s="367" t="str">
        <f>IF(Contents!$B$2=2,"Tver region","Тверская область")</f>
        <v>Тверская область</v>
      </c>
      <c r="C139" s="53" t="str">
        <f>IF(Contents!$B$2=2,"people"," человек")</f>
        <v xml:space="preserve"> человек</v>
      </c>
      <c r="D139" s="46" t="s">
        <v>185</v>
      </c>
      <c r="E139" s="46" t="s">
        <v>185</v>
      </c>
      <c r="F139" s="46">
        <v>0</v>
      </c>
      <c r="G139" s="46">
        <v>0</v>
      </c>
      <c r="H139" s="46">
        <v>0</v>
      </c>
      <c r="I139" s="46">
        <v>6</v>
      </c>
      <c r="J139" s="46">
        <v>9</v>
      </c>
      <c r="K139" s="91">
        <v>9</v>
      </c>
      <c r="L139" s="91">
        <v>9</v>
      </c>
      <c r="M139" s="91">
        <v>9</v>
      </c>
      <c r="N139" s="89">
        <v>10</v>
      </c>
      <c r="O139" s="879"/>
      <c r="P139" s="558" t="str">
        <f>IF(Contents!$B$2=2,"Yes","Да")</f>
        <v>Да</v>
      </c>
      <c r="Q139" s="38"/>
      <c r="R139" s="39"/>
      <c r="S139" s="39"/>
      <c r="T139" s="39"/>
      <c r="U139" s="39"/>
      <c r="W139" s="933">
        <v>1</v>
      </c>
      <c r="Y139" s="595"/>
    </row>
    <row r="140" spans="1:48" ht="22.5" hidden="1" customHeight="1" outlineLevel="1">
      <c r="B140" s="367" t="str">
        <f>IF(Contents!$B$2=2,"Tula Region","Тульская область")</f>
        <v>Тульская область</v>
      </c>
      <c r="C140" s="53" t="str">
        <f>IF(Contents!$B$2=2,"people"," человек")</f>
        <v xml:space="preserve"> человек</v>
      </c>
      <c r="D140" s="46" t="s">
        <v>185</v>
      </c>
      <c r="E140" s="46" t="s">
        <v>185</v>
      </c>
      <c r="F140" s="46">
        <v>0</v>
      </c>
      <c r="G140" s="46">
        <v>0</v>
      </c>
      <c r="H140" s="46">
        <v>0</v>
      </c>
      <c r="I140" s="46">
        <v>6</v>
      </c>
      <c r="J140" s="46">
        <v>7</v>
      </c>
      <c r="K140" s="91">
        <v>9</v>
      </c>
      <c r="L140" s="91">
        <v>9</v>
      </c>
      <c r="M140" s="91">
        <v>9</v>
      </c>
      <c r="N140" s="89">
        <v>9</v>
      </c>
      <c r="O140" s="879"/>
      <c r="P140" s="558" t="str">
        <f>IF(Contents!$B$2=2,"Yes","Да")</f>
        <v>Да</v>
      </c>
      <c r="Q140" s="38"/>
      <c r="R140" s="39"/>
      <c r="S140" s="39"/>
      <c r="T140" s="39"/>
      <c r="U140" s="39"/>
      <c r="W140" s="933">
        <v>1</v>
      </c>
      <c r="Y140" s="595"/>
    </row>
    <row r="141" spans="1:48" ht="22.5" hidden="1" customHeight="1" outlineLevel="1">
      <c r="B141" s="367" t="str">
        <f>IF(Contents!$B$2=2,"Republic of Tatarstan","Республика Татарстан")</f>
        <v>Республика Татарстан</v>
      </c>
      <c r="C141" s="53" t="str">
        <f>IF(Contents!$B$2=2,"people"," человек")</f>
        <v xml:space="preserve"> человек</v>
      </c>
      <c r="D141" s="46" t="s">
        <v>185</v>
      </c>
      <c r="E141" s="46" t="s">
        <v>185</v>
      </c>
      <c r="F141" s="46">
        <v>0</v>
      </c>
      <c r="G141" s="46">
        <v>0</v>
      </c>
      <c r="H141" s="46">
        <v>0</v>
      </c>
      <c r="I141" s="46">
        <v>1</v>
      </c>
      <c r="J141" s="46">
        <v>6</v>
      </c>
      <c r="K141" s="91">
        <v>9</v>
      </c>
      <c r="L141" s="91">
        <v>9</v>
      </c>
      <c r="M141" s="91">
        <v>9</v>
      </c>
      <c r="N141" s="89">
        <v>6</v>
      </c>
      <c r="O141" s="879"/>
      <c r="P141" s="558" t="str">
        <f>IF(Contents!$B$2=2,"Yes","Да")</f>
        <v>Да</v>
      </c>
      <c r="Q141" s="38"/>
      <c r="R141" s="39"/>
      <c r="S141" s="39"/>
      <c r="T141" s="39"/>
      <c r="U141" s="39"/>
      <c r="W141" s="933">
        <v>1</v>
      </c>
      <c r="Y141" s="595"/>
    </row>
    <row r="142" spans="1:48" ht="22.5" hidden="1" customHeight="1" outlineLevel="1">
      <c r="B142" s="367" t="str">
        <f>IF(Contents!$B$2=2,"Vladimir Region","Владимирская область")</f>
        <v>Владимирская область</v>
      </c>
      <c r="C142" s="53" t="str">
        <f>IF(Contents!$B$2=2,"people"," человек")</f>
        <v xml:space="preserve"> человек</v>
      </c>
      <c r="D142" s="46" t="s">
        <v>185</v>
      </c>
      <c r="E142" s="46" t="s">
        <v>185</v>
      </c>
      <c r="F142" s="46">
        <v>0</v>
      </c>
      <c r="G142" s="46">
        <v>0</v>
      </c>
      <c r="H142" s="46">
        <v>0</v>
      </c>
      <c r="I142" s="46">
        <v>0</v>
      </c>
      <c r="J142" s="46">
        <v>0</v>
      </c>
      <c r="K142" s="91">
        <v>10</v>
      </c>
      <c r="L142" s="91">
        <v>10</v>
      </c>
      <c r="M142" s="91">
        <v>10</v>
      </c>
      <c r="N142" s="89">
        <v>15</v>
      </c>
      <c r="O142" s="879"/>
      <c r="P142" s="558" t="str">
        <f>IF(Contents!$B$2=2,"Yes","Да")</f>
        <v>Да</v>
      </c>
      <c r="Q142" s="38"/>
      <c r="R142" s="39"/>
      <c r="S142" s="39"/>
      <c r="T142" s="39"/>
      <c r="U142" s="39"/>
      <c r="W142" s="933">
        <v>1</v>
      </c>
      <c r="Y142" s="595"/>
    </row>
    <row r="143" spans="1:48" ht="22.5" hidden="1" customHeight="1" outlineLevel="1">
      <c r="B143" s="367" t="str">
        <f>IF(Contents!$B$2=2,"Penza Region","Пензенская область")</f>
        <v>Пензенская область</v>
      </c>
      <c r="C143" s="53" t="str">
        <f>IF(Contents!$B$2=2,"people"," человек")</f>
        <v xml:space="preserve"> человек</v>
      </c>
      <c r="D143" s="46" t="s">
        <v>185</v>
      </c>
      <c r="E143" s="46" t="s">
        <v>185</v>
      </c>
      <c r="F143" s="46">
        <v>0</v>
      </c>
      <c r="G143" s="46">
        <v>0</v>
      </c>
      <c r="H143" s="46">
        <v>0</v>
      </c>
      <c r="I143" s="46">
        <v>0</v>
      </c>
      <c r="J143" s="46">
        <v>0</v>
      </c>
      <c r="K143" s="46">
        <v>0</v>
      </c>
      <c r="L143" s="91">
        <v>6</v>
      </c>
      <c r="M143" s="91">
        <v>6</v>
      </c>
      <c r="N143" s="89">
        <v>6</v>
      </c>
      <c r="O143" s="879"/>
      <c r="P143" s="558" t="str">
        <f>IF(Contents!$B$2=2,"Yes","Да")</f>
        <v>Да</v>
      </c>
      <c r="Q143" s="38"/>
      <c r="R143" s="39"/>
      <c r="S143" s="39"/>
      <c r="T143" s="39"/>
      <c r="U143" s="39"/>
      <c r="W143" s="933">
        <v>1</v>
      </c>
      <c r="Y143" s="595"/>
    </row>
    <row r="144" spans="1:48" ht="22.5" hidden="1" customHeight="1" outlineLevel="1">
      <c r="B144" s="368" t="str">
        <f>IF(Contents!$B$2=2,"Nizhny Novgorod region","Нижегородская область")</f>
        <v>Нижегородская область</v>
      </c>
      <c r="C144" s="53" t="str">
        <f>IF(Contents!$B$2=2,"people"," человек")</f>
        <v xml:space="preserve"> человек</v>
      </c>
      <c r="D144" s="46" t="s">
        <v>185</v>
      </c>
      <c r="E144" s="46" t="s">
        <v>185</v>
      </c>
      <c r="F144" s="46">
        <v>0</v>
      </c>
      <c r="G144" s="46">
        <v>0</v>
      </c>
      <c r="H144" s="46">
        <v>0</v>
      </c>
      <c r="I144" s="46">
        <v>0</v>
      </c>
      <c r="J144" s="46">
        <v>0</v>
      </c>
      <c r="K144" s="91">
        <v>0</v>
      </c>
      <c r="L144" s="91">
        <v>0</v>
      </c>
      <c r="M144" s="91">
        <v>6</v>
      </c>
      <c r="N144" s="89">
        <v>6</v>
      </c>
      <c r="O144" s="879"/>
      <c r="P144" s="558" t="str">
        <f>IF(Contents!$B$2=2,"Yes","Да")</f>
        <v>Да</v>
      </c>
      <c r="Q144" s="38"/>
      <c r="R144" s="39"/>
      <c r="S144" s="39"/>
      <c r="T144" s="39"/>
      <c r="U144" s="39"/>
      <c r="W144" s="933">
        <v>1</v>
      </c>
      <c r="Y144" s="595"/>
    </row>
    <row r="145" spans="2:25" ht="22.5" hidden="1" customHeight="1" outlineLevel="1">
      <c r="B145" s="368" t="str">
        <f>IF(Contents!$B$2=2,"Primorsky Krai","Приморский край")</f>
        <v>Приморский край</v>
      </c>
      <c r="C145" s="53" t="str">
        <f>IF(Contents!$B$2=2,"people"," человек")</f>
        <v xml:space="preserve"> человек</v>
      </c>
      <c r="D145" s="46" t="s">
        <v>185</v>
      </c>
      <c r="E145" s="46" t="s">
        <v>185</v>
      </c>
      <c r="F145" s="46">
        <v>0</v>
      </c>
      <c r="G145" s="46">
        <v>0</v>
      </c>
      <c r="H145" s="46">
        <v>0</v>
      </c>
      <c r="I145" s="46">
        <v>0</v>
      </c>
      <c r="J145" s="46">
        <v>0</v>
      </c>
      <c r="K145" s="91">
        <v>0</v>
      </c>
      <c r="L145" s="91">
        <v>0</v>
      </c>
      <c r="M145" s="91">
        <v>188</v>
      </c>
      <c r="N145" s="89">
        <v>168</v>
      </c>
      <c r="O145" s="879"/>
      <c r="P145" s="558" t="str">
        <f>IF(Contents!$B$2=2,"Yes","Да")</f>
        <v>Да</v>
      </c>
      <c r="Q145" s="38"/>
      <c r="R145" s="39"/>
      <c r="S145" s="39"/>
      <c r="T145" s="39"/>
      <c r="U145" s="39"/>
      <c r="W145" s="933">
        <v>1</v>
      </c>
      <c r="Y145" s="595"/>
    </row>
    <row r="146" spans="2:25" ht="22.5" hidden="1" customHeight="1" outlineLevel="1">
      <c r="B146" s="368" t="str">
        <f>IF(Contents!$B$2=2,"Republic of Mari El","Республика Марий Эл")</f>
        <v>Республика Марий Эл</v>
      </c>
      <c r="C146" s="53" t="str">
        <f>IF(Contents!$B$2=2,"people"," человек")</f>
        <v xml:space="preserve"> человек</v>
      </c>
      <c r="D146" s="46" t="s">
        <v>185</v>
      </c>
      <c r="E146" s="46" t="s">
        <v>185</v>
      </c>
      <c r="F146" s="46">
        <v>0</v>
      </c>
      <c r="G146" s="46">
        <v>0</v>
      </c>
      <c r="H146" s="46">
        <v>0</v>
      </c>
      <c r="I146" s="46">
        <v>1</v>
      </c>
      <c r="J146" s="46">
        <v>0</v>
      </c>
      <c r="K146" s="91">
        <v>0</v>
      </c>
      <c r="L146" s="91">
        <v>0</v>
      </c>
      <c r="M146" s="91">
        <v>0</v>
      </c>
      <c r="N146" s="89">
        <v>0</v>
      </c>
      <c r="O146" s="879"/>
      <c r="P146" s="558" t="str">
        <f>IF(Contents!$B$2=2,"Yes","Да")</f>
        <v>Да</v>
      </c>
      <c r="Q146" s="38"/>
      <c r="R146" s="39"/>
      <c r="S146" s="39"/>
      <c r="T146" s="39"/>
      <c r="U146" s="39"/>
      <c r="W146" s="933">
        <v>1</v>
      </c>
      <c r="Y146" s="595"/>
    </row>
    <row r="147" spans="2:25" ht="22.35" hidden="1" customHeight="1" outlineLevel="1">
      <c r="B147" s="368" t="str">
        <f>IF(Contents!$B$2=2,"Chuvash Republic","Чувашская республика")</f>
        <v>Чувашская республика</v>
      </c>
      <c r="C147" s="53" t="str">
        <f>IF(Contents!$B$2=2,"people"," человек")</f>
        <v xml:space="preserve"> человек</v>
      </c>
      <c r="D147" s="46" t="s">
        <v>185</v>
      </c>
      <c r="E147" s="46" t="s">
        <v>185</v>
      </c>
      <c r="F147" s="90" t="s">
        <v>185</v>
      </c>
      <c r="G147" s="90" t="s">
        <v>185</v>
      </c>
      <c r="H147" s="90" t="s">
        <v>185</v>
      </c>
      <c r="I147" s="46" t="s">
        <v>185</v>
      </c>
      <c r="J147" s="46" t="s">
        <v>185</v>
      </c>
      <c r="K147" s="46" t="s">
        <v>185</v>
      </c>
      <c r="L147" s="46" t="s">
        <v>185</v>
      </c>
      <c r="M147" s="46" t="s">
        <v>185</v>
      </c>
      <c r="N147" s="89">
        <v>9</v>
      </c>
      <c r="O147" s="879"/>
      <c r="P147" s="558" t="str">
        <f>IF(Contents!$B$2=2,"Yes","Да")</f>
        <v>Да</v>
      </c>
      <c r="Q147" s="38"/>
      <c r="R147" s="39"/>
      <c r="S147" s="39"/>
      <c r="T147" s="39"/>
      <c r="U147" s="39"/>
      <c r="W147" s="933">
        <v>1</v>
      </c>
      <c r="Y147" s="595"/>
    </row>
    <row r="148" spans="2:25" ht="22.5" customHeight="1" collapsed="1">
      <c r="B148" s="78" t="str">
        <f>IF(Contents!$B$2=2,"Other countries","Прочие страны")</f>
        <v>Прочие страны</v>
      </c>
      <c r="C148" s="53" t="str">
        <f>IF(Contents!$B$2=2,"people"," человек")</f>
        <v xml:space="preserve"> человек</v>
      </c>
      <c r="D148" s="46" t="s">
        <v>185</v>
      </c>
      <c r="E148" s="46" t="s">
        <v>185</v>
      </c>
      <c r="F148" s="46">
        <v>95</v>
      </c>
      <c r="G148" s="46">
        <v>103</v>
      </c>
      <c r="H148" s="46">
        <v>145</v>
      </c>
      <c r="I148" s="46">
        <v>182</v>
      </c>
      <c r="J148" s="46">
        <v>209</v>
      </c>
      <c r="K148" s="91">
        <v>100</v>
      </c>
      <c r="L148" s="91">
        <v>104</v>
      </c>
      <c r="M148" s="91">
        <v>119</v>
      </c>
      <c r="N148" s="89">
        <v>125</v>
      </c>
      <c r="O148" s="879"/>
      <c r="P148" s="558" t="str">
        <f>IF(Contents!$B$2=2,"Yes","Да")</f>
        <v>Да</v>
      </c>
      <c r="Q148" s="38"/>
      <c r="R148" s="39"/>
      <c r="S148" s="39"/>
      <c r="T148" s="39"/>
      <c r="U148" s="39"/>
      <c r="W148" s="933">
        <v>1</v>
      </c>
      <c r="Y148" s="595"/>
    </row>
    <row r="149" spans="2:25" ht="22.5" customHeight="1">
      <c r="B149" s="78"/>
      <c r="C149" s="53"/>
      <c r="D149" s="377"/>
      <c r="E149" s="377"/>
      <c r="F149" s="377"/>
      <c r="G149" s="377"/>
      <c r="H149" s="377"/>
      <c r="I149" s="377"/>
      <c r="J149" s="377"/>
      <c r="K149" s="377"/>
      <c r="L149" s="377"/>
      <c r="M149" s="377"/>
      <c r="N149" s="377"/>
      <c r="O149" s="29"/>
      <c r="P149" s="558"/>
      <c r="Q149" s="29"/>
      <c r="R149" s="39"/>
      <c r="S149" s="39"/>
      <c r="T149" s="39"/>
      <c r="U149" s="39"/>
      <c r="Y149" s="595"/>
    </row>
    <row r="150" spans="2:25" ht="34.5" customHeight="1">
      <c r="B150" s="371" t="str">
        <f>IF(Contents!$B$2=2,"Fixed-term employment contract","Срочный договор")</f>
        <v>Срочный договор</v>
      </c>
      <c r="C150" s="49" t="str">
        <f>IF(Contents!$B$2=2,"people"," человек")</f>
        <v xml:space="preserve"> человек</v>
      </c>
      <c r="D150" s="372">
        <v>785</v>
      </c>
      <c r="E150" s="372">
        <v>1013</v>
      </c>
      <c r="F150" s="372">
        <v>1166</v>
      </c>
      <c r="G150" s="372">
        <v>1100</v>
      </c>
      <c r="H150" s="372">
        <v>1405</v>
      </c>
      <c r="I150" s="372">
        <v>1669</v>
      </c>
      <c r="J150" s="372">
        <v>1718</v>
      </c>
      <c r="K150" s="372">
        <v>1724</v>
      </c>
      <c r="L150" s="372">
        <v>1972</v>
      </c>
      <c r="M150" s="372">
        <v>1944</v>
      </c>
      <c r="N150" s="372">
        <v>1650</v>
      </c>
      <c r="O150" s="879"/>
      <c r="P150" s="558" t="str">
        <f>IF(Contents!$B$2=2,"Yes","Да")</f>
        <v>Да</v>
      </c>
      <c r="Q150" s="29"/>
      <c r="R150" s="39" t="s">
        <v>122</v>
      </c>
      <c r="S150" s="39"/>
      <c r="T150" s="39" t="s">
        <v>123</v>
      </c>
      <c r="U150" s="39"/>
      <c r="W150" s="933">
        <v>1</v>
      </c>
      <c r="Y150" s="595"/>
    </row>
    <row r="151" spans="2:25" ht="22.5" customHeight="1">
      <c r="B151" s="364" t="str">
        <f>IF(Contents!$B$2=2,"by gender","по полу")</f>
        <v>по полу</v>
      </c>
      <c r="C151" s="77"/>
      <c r="D151" s="111"/>
      <c r="E151" s="111"/>
      <c r="F151" s="111"/>
      <c r="G151" s="111"/>
      <c r="H151" s="111"/>
      <c r="I151" s="85"/>
      <c r="J151" s="111"/>
      <c r="K151" s="111"/>
      <c r="L151" s="111"/>
      <c r="M151" s="111"/>
      <c r="N151" s="111"/>
      <c r="O151" s="37"/>
      <c r="P151" s="39"/>
      <c r="Q151" s="29"/>
      <c r="R151" s="39" t="s">
        <v>122</v>
      </c>
      <c r="S151" s="39"/>
      <c r="T151" s="39" t="s">
        <v>123</v>
      </c>
      <c r="U151" s="39"/>
      <c r="Y151" s="595"/>
    </row>
    <row r="152" spans="2:25" ht="22.5" customHeight="1">
      <c r="B152" s="93" t="str">
        <f>IF(Contents!$B$2=2,"Male","Мужчины")</f>
        <v>Мужчины</v>
      </c>
      <c r="C152" s="53" t="str">
        <f>IF(Contents!$B$2=2,"people"," человек")</f>
        <v xml:space="preserve"> человек</v>
      </c>
      <c r="D152" s="46" t="s">
        <v>185</v>
      </c>
      <c r="E152" s="46" t="s">
        <v>185</v>
      </c>
      <c r="F152" s="46">
        <v>727</v>
      </c>
      <c r="G152" s="46">
        <v>722</v>
      </c>
      <c r="H152" s="46">
        <v>955</v>
      </c>
      <c r="I152" s="38">
        <v>1144</v>
      </c>
      <c r="J152" s="38">
        <v>1142</v>
      </c>
      <c r="K152" s="38">
        <v>1164</v>
      </c>
      <c r="L152" s="38">
        <v>1357</v>
      </c>
      <c r="M152" s="38">
        <v>1354</v>
      </c>
      <c r="N152" s="89">
        <v>1119</v>
      </c>
      <c r="O152" s="879"/>
      <c r="P152" s="558" t="str">
        <f>IF(Contents!$B$2=2,"Yes","Да")</f>
        <v>Да</v>
      </c>
      <c r="Q152" s="29"/>
      <c r="R152" s="39"/>
      <c r="S152" s="39"/>
      <c r="T152" s="39"/>
      <c r="U152" s="39"/>
      <c r="W152" s="933">
        <v>1</v>
      </c>
      <c r="Y152" s="595"/>
    </row>
    <row r="153" spans="2:25" ht="22.5" customHeight="1">
      <c r="B153" s="93" t="str">
        <f>IF(Contents!$B$2=2,"Female","Женщины")</f>
        <v>Женщины</v>
      </c>
      <c r="C153" s="53" t="str">
        <f>IF(Contents!$B$2=2,"people"," человек")</f>
        <v xml:space="preserve"> человек</v>
      </c>
      <c r="D153" s="46" t="s">
        <v>185</v>
      </c>
      <c r="E153" s="46" t="s">
        <v>185</v>
      </c>
      <c r="F153" s="46">
        <v>439</v>
      </c>
      <c r="G153" s="46">
        <v>378</v>
      </c>
      <c r="H153" s="46">
        <v>450</v>
      </c>
      <c r="I153" s="38">
        <v>525</v>
      </c>
      <c r="J153" s="38">
        <v>576</v>
      </c>
      <c r="K153" s="38">
        <v>560</v>
      </c>
      <c r="L153" s="38">
        <v>615</v>
      </c>
      <c r="M153" s="38">
        <v>590</v>
      </c>
      <c r="N153" s="89">
        <v>531</v>
      </c>
      <c r="O153" s="879"/>
      <c r="P153" s="558" t="str">
        <f>IF(Contents!$B$2=2,"Yes","Да")</f>
        <v>Да</v>
      </c>
      <c r="Q153" s="29"/>
      <c r="R153" s="39"/>
      <c r="S153" s="39"/>
      <c r="T153" s="39"/>
      <c r="U153" s="39"/>
      <c r="W153" s="933">
        <v>1</v>
      </c>
      <c r="Y153" s="595"/>
    </row>
    <row r="154" spans="2:25" ht="22.5" customHeight="1">
      <c r="B154" s="23" t="str">
        <f>IF(Contents!$B$2=2,"by region","по региону")</f>
        <v>по региону</v>
      </c>
      <c r="C154" s="77"/>
      <c r="D154" s="111"/>
      <c r="E154" s="111"/>
      <c r="F154" s="111"/>
      <c r="G154" s="111"/>
      <c r="H154" s="111"/>
      <c r="I154" s="85"/>
      <c r="J154" s="111"/>
      <c r="K154" s="111"/>
      <c r="L154" s="111"/>
      <c r="M154" s="111"/>
      <c r="N154" s="111"/>
      <c r="O154" s="37"/>
      <c r="P154" s="558"/>
      <c r="Q154" s="29"/>
      <c r="R154" s="39" t="s">
        <v>122</v>
      </c>
      <c r="S154" s="39"/>
      <c r="T154" s="39" t="s">
        <v>123</v>
      </c>
      <c r="U154" s="39"/>
      <c r="Y154" s="595"/>
    </row>
    <row r="155" spans="2:25" ht="22.5" customHeight="1">
      <c r="B155" s="177" t="str">
        <f>IF(Contents!$B$2=2,"Russian Federation","Российская Федерация")</f>
        <v>Российская Федерация</v>
      </c>
      <c r="C155" s="53" t="str">
        <f>IF(Contents!$B$2=2,"people"," человек")</f>
        <v xml:space="preserve"> человек</v>
      </c>
      <c r="D155" s="46" t="s">
        <v>185</v>
      </c>
      <c r="E155" s="46" t="s">
        <v>185</v>
      </c>
      <c r="F155" s="46">
        <v>1127</v>
      </c>
      <c r="G155" s="46">
        <v>1041</v>
      </c>
      <c r="H155" s="46">
        <v>1344</v>
      </c>
      <c r="I155" s="46">
        <v>1618</v>
      </c>
      <c r="J155" s="46">
        <v>1662</v>
      </c>
      <c r="K155" s="46">
        <v>1702</v>
      </c>
      <c r="L155" s="46">
        <v>1945</v>
      </c>
      <c r="M155" s="46">
        <v>1904</v>
      </c>
      <c r="N155" s="104">
        <v>1610</v>
      </c>
      <c r="O155" s="879"/>
      <c r="P155" s="558" t="str">
        <f>IF(Contents!$B$2=2,"Yes","Да")</f>
        <v>Да</v>
      </c>
      <c r="Q155" s="29"/>
      <c r="R155" s="39"/>
      <c r="S155" s="39"/>
      <c r="T155" s="39"/>
      <c r="U155" s="39"/>
      <c r="W155" s="933">
        <v>1</v>
      </c>
      <c r="Y155" s="595"/>
    </row>
    <row r="156" spans="2:25" ht="22.5" customHeight="1">
      <c r="B156" s="207" t="str">
        <f>IF(Contents!$B$2=2,"Yamal-Nenets Autonomous Region","Ямало-Ненецкий автономный округ")</f>
        <v>Ямало-Ненецкий автономный округ</v>
      </c>
      <c r="C156" s="53" t="str">
        <f>IF(Contents!$B$2=2,"people"," человек")</f>
        <v xml:space="preserve"> человек</v>
      </c>
      <c r="D156" s="46" t="s">
        <v>185</v>
      </c>
      <c r="E156" s="46" t="s">
        <v>185</v>
      </c>
      <c r="F156" s="46">
        <v>544</v>
      </c>
      <c r="G156" s="46">
        <v>523</v>
      </c>
      <c r="H156" s="46">
        <v>634</v>
      </c>
      <c r="I156" s="46">
        <v>665</v>
      </c>
      <c r="J156" s="46">
        <v>565</v>
      </c>
      <c r="K156" s="38">
        <v>496</v>
      </c>
      <c r="L156" s="38">
        <v>562</v>
      </c>
      <c r="M156" s="38">
        <v>645</v>
      </c>
      <c r="N156" s="89">
        <v>514</v>
      </c>
      <c r="O156" s="879"/>
      <c r="P156" s="558" t="str">
        <f>IF(Contents!$B$2=2,"Yes","Да")</f>
        <v>Да</v>
      </c>
      <c r="Q156" s="29"/>
      <c r="R156" s="39"/>
      <c r="S156" s="39"/>
      <c r="T156" s="39"/>
      <c r="U156" s="39"/>
      <c r="W156" s="933">
        <v>1</v>
      </c>
      <c r="Y156" s="595"/>
    </row>
    <row r="157" spans="2:25" ht="22.5" customHeight="1">
      <c r="B157" s="207" t="str">
        <f>IF(Contents!$B$2=2,"Moscow and Moscow Region","Москва и Московская область")</f>
        <v>Москва и Московская область</v>
      </c>
      <c r="C157" s="53" t="str">
        <f>IF(Contents!$B$2=2,"people"," человек")</f>
        <v xml:space="preserve"> человек</v>
      </c>
      <c r="D157" s="46" t="s">
        <v>185</v>
      </c>
      <c r="E157" s="46" t="s">
        <v>185</v>
      </c>
      <c r="F157" s="46">
        <v>358</v>
      </c>
      <c r="G157" s="46">
        <v>299</v>
      </c>
      <c r="H157" s="46">
        <v>375</v>
      </c>
      <c r="I157" s="46">
        <v>457</v>
      </c>
      <c r="J157" s="46">
        <v>465</v>
      </c>
      <c r="K157" s="38">
        <v>491</v>
      </c>
      <c r="L157" s="38">
        <v>615</v>
      </c>
      <c r="M157" s="38">
        <v>623</v>
      </c>
      <c r="N157" s="89">
        <v>533</v>
      </c>
      <c r="O157" s="879"/>
      <c r="P157" s="558" t="str">
        <f>IF(Contents!$B$2=2,"Yes","Да")</f>
        <v>Да</v>
      </c>
      <c r="Q157" s="29"/>
      <c r="R157" s="39"/>
      <c r="S157" s="39"/>
      <c r="T157" s="39"/>
      <c r="U157" s="39"/>
      <c r="W157" s="933">
        <v>1</v>
      </c>
      <c r="Y157" s="595"/>
    </row>
    <row r="158" spans="2:25" ht="22.5" customHeight="1">
      <c r="B158" s="207" t="str">
        <f>IF(Contents!$B$2=2,"Chelyabinsk Region","Челябинская область")</f>
        <v>Челябинская область</v>
      </c>
      <c r="C158" s="53" t="str">
        <f>IF(Contents!$B$2=2,"people"," человек")</f>
        <v xml:space="preserve"> человек</v>
      </c>
      <c r="D158" s="46" t="s">
        <v>185</v>
      </c>
      <c r="E158" s="46" t="s">
        <v>185</v>
      </c>
      <c r="F158" s="46">
        <v>81</v>
      </c>
      <c r="G158" s="46">
        <v>58</v>
      </c>
      <c r="H158" s="46">
        <v>57</v>
      </c>
      <c r="I158" s="46">
        <v>56</v>
      </c>
      <c r="J158" s="46">
        <v>57</v>
      </c>
      <c r="K158" s="38">
        <v>48</v>
      </c>
      <c r="L158" s="38">
        <v>45</v>
      </c>
      <c r="M158" s="38">
        <v>29</v>
      </c>
      <c r="N158" s="89">
        <v>30</v>
      </c>
      <c r="O158" s="879"/>
      <c r="P158" s="558" t="str">
        <f>IF(Contents!$B$2=2,"Yes","Да")</f>
        <v>Да</v>
      </c>
      <c r="Q158" s="29"/>
      <c r="R158" s="39"/>
      <c r="S158" s="39"/>
      <c r="T158" s="39"/>
      <c r="U158" s="39"/>
      <c r="W158" s="933">
        <v>1</v>
      </c>
      <c r="Y158" s="595"/>
    </row>
    <row r="159" spans="2:25" ht="22.5" customHeight="1">
      <c r="B159" s="207" t="str">
        <f>IF(Contents!$B$2=2,"St. Petersburg and Leningrad Region","Санкт-Петербург и Ленинградская область")</f>
        <v>Санкт-Петербург и Ленинградская область</v>
      </c>
      <c r="C159" s="53" t="str">
        <f>IF(Contents!$B$2=2,"people"," человек")</f>
        <v xml:space="preserve"> человек</v>
      </c>
      <c r="D159" s="46" t="s">
        <v>185</v>
      </c>
      <c r="E159" s="46" t="s">
        <v>185</v>
      </c>
      <c r="F159" s="46">
        <v>30</v>
      </c>
      <c r="G159" s="46">
        <v>39</v>
      </c>
      <c r="H159" s="46">
        <v>56</v>
      </c>
      <c r="I159" s="46">
        <v>84</v>
      </c>
      <c r="J159" s="46">
        <v>100</v>
      </c>
      <c r="K159" s="38">
        <v>120</v>
      </c>
      <c r="L159" s="38">
        <v>119</v>
      </c>
      <c r="M159" s="38">
        <v>107</v>
      </c>
      <c r="N159" s="89">
        <v>120</v>
      </c>
      <c r="O159" s="879"/>
      <c r="P159" s="558" t="str">
        <f>IF(Contents!$B$2=2,"Yes","Да")</f>
        <v>Да</v>
      </c>
      <c r="Q159" s="29"/>
      <c r="R159" s="39"/>
      <c r="S159" s="39"/>
      <c r="T159" s="39"/>
      <c r="U159" s="39"/>
      <c r="W159" s="933">
        <v>1</v>
      </c>
      <c r="Y159" s="595"/>
    </row>
    <row r="160" spans="2:25" ht="22.5" customHeight="1">
      <c r="B160" s="285" t="str">
        <f>IF(Contents!$B$2=2,"Other regions","Прочие регионы")</f>
        <v>Прочие регионы</v>
      </c>
      <c r="C160" s="53" t="str">
        <f>IF(Contents!$B$2=2,"people"," человек")</f>
        <v xml:space="preserve"> человек</v>
      </c>
      <c r="D160" s="373" t="s">
        <v>185</v>
      </c>
      <c r="E160" s="46" t="s">
        <v>185</v>
      </c>
      <c r="F160" s="38">
        <v>114</v>
      </c>
      <c r="G160" s="38">
        <v>122</v>
      </c>
      <c r="H160" s="38">
        <v>222</v>
      </c>
      <c r="I160" s="38">
        <v>356</v>
      </c>
      <c r="J160" s="38">
        <v>475</v>
      </c>
      <c r="K160" s="38">
        <v>547</v>
      </c>
      <c r="L160" s="38">
        <v>604</v>
      </c>
      <c r="M160" s="38">
        <v>500</v>
      </c>
      <c r="N160" s="89">
        <v>413</v>
      </c>
      <c r="O160" s="879"/>
      <c r="P160" s="558" t="str">
        <f>IF(Contents!$B$2=2,"Yes","Да")</f>
        <v>Да</v>
      </c>
      <c r="Q160" s="29"/>
      <c r="R160" s="39"/>
      <c r="S160" s="39"/>
      <c r="T160" s="39"/>
      <c r="U160" s="39"/>
      <c r="W160" s="933">
        <v>1</v>
      </c>
      <c r="Y160" s="595"/>
    </row>
    <row r="161" spans="2:25" ht="22.5" hidden="1" customHeight="1" outlineLevel="1">
      <c r="B161" s="367" t="str">
        <f>IF(Contents!$B$2=2,"Tyumen Region","Тюменская область")</f>
        <v>Тюменская область</v>
      </c>
      <c r="C161" s="53" t="str">
        <f>IF(Contents!$B$2=2,"people"," человек")</f>
        <v xml:space="preserve"> человек</v>
      </c>
      <c r="D161" s="46" t="s">
        <v>185</v>
      </c>
      <c r="E161" s="46" t="s">
        <v>185</v>
      </c>
      <c r="F161" s="46">
        <v>15</v>
      </c>
      <c r="G161" s="16">
        <v>18</v>
      </c>
      <c r="H161" s="46">
        <v>26</v>
      </c>
      <c r="I161" s="46">
        <v>36</v>
      </c>
      <c r="J161" s="46">
        <v>61</v>
      </c>
      <c r="K161" s="107">
        <v>69</v>
      </c>
      <c r="L161" s="107">
        <v>72</v>
      </c>
      <c r="M161" s="107">
        <v>99</v>
      </c>
      <c r="N161" s="89">
        <v>123</v>
      </c>
      <c r="O161" s="879"/>
      <c r="P161" s="558" t="str">
        <f>IF(Contents!$B$2=2,"Yes","Да")</f>
        <v>Да</v>
      </c>
      <c r="Q161" s="29"/>
      <c r="R161" s="39"/>
      <c r="S161" s="39"/>
      <c r="T161" s="39"/>
      <c r="U161" s="39"/>
      <c r="W161" s="933">
        <v>1</v>
      </c>
      <c r="Y161" s="595"/>
    </row>
    <row r="162" spans="2:25" ht="22.5" hidden="1" customHeight="1" outlineLevel="1">
      <c r="B162" s="367" t="str">
        <f>IF(Contents!$B$2=2,"Rostov Region","Ростовская область")</f>
        <v>Ростовская область</v>
      </c>
      <c r="C162" s="53" t="str">
        <f>IF(Contents!$B$2=2,"people"," человек")</f>
        <v xml:space="preserve"> человек</v>
      </c>
      <c r="D162" s="46" t="s">
        <v>185</v>
      </c>
      <c r="E162" s="46" t="s">
        <v>185</v>
      </c>
      <c r="F162" s="46">
        <v>12</v>
      </c>
      <c r="G162" s="46">
        <v>9</v>
      </c>
      <c r="H162" s="46">
        <v>7</v>
      </c>
      <c r="I162" s="46">
        <v>8</v>
      </c>
      <c r="J162" s="46">
        <v>8</v>
      </c>
      <c r="K162" s="107">
        <v>6</v>
      </c>
      <c r="L162" s="107">
        <v>6</v>
      </c>
      <c r="M162" s="107">
        <v>4</v>
      </c>
      <c r="N162" s="89">
        <v>5</v>
      </c>
      <c r="O162" s="879"/>
      <c r="P162" s="558" t="str">
        <f>IF(Contents!$B$2=2,"Yes","Да")</f>
        <v>Да</v>
      </c>
      <c r="Q162" s="29"/>
      <c r="R162" s="39"/>
      <c r="S162" s="39"/>
      <c r="T162" s="39"/>
      <c r="U162" s="39"/>
      <c r="W162" s="933">
        <v>1</v>
      </c>
      <c r="Y162" s="595"/>
    </row>
    <row r="163" spans="2:25" ht="22.5" hidden="1" customHeight="1" outlineLevel="1">
      <c r="B163" s="367" t="str">
        <f>IF(Contents!$B$2=2,"Kostroma Region","Костромская область")</f>
        <v>Костромская область</v>
      </c>
      <c r="C163" s="53" t="str">
        <f>IF(Contents!$B$2=2,"people"," человек")</f>
        <v xml:space="preserve"> человек</v>
      </c>
      <c r="D163" s="46" t="s">
        <v>185</v>
      </c>
      <c r="E163" s="46" t="s">
        <v>185</v>
      </c>
      <c r="F163" s="46">
        <v>23</v>
      </c>
      <c r="G163" s="46">
        <v>25</v>
      </c>
      <c r="H163" s="46">
        <v>24</v>
      </c>
      <c r="I163" s="46">
        <v>25</v>
      </c>
      <c r="J163" s="46">
        <v>15</v>
      </c>
      <c r="K163" s="91">
        <v>10</v>
      </c>
      <c r="L163" s="91">
        <v>10</v>
      </c>
      <c r="M163" s="91">
        <v>10</v>
      </c>
      <c r="N163" s="89">
        <v>5</v>
      </c>
      <c r="O163" s="879"/>
      <c r="P163" s="558" t="str">
        <f>IF(Contents!$B$2=2,"Yes","Да")</f>
        <v>Да</v>
      </c>
      <c r="Q163" s="29"/>
      <c r="R163" s="39"/>
      <c r="S163" s="39"/>
      <c r="T163" s="39"/>
      <c r="U163" s="39"/>
      <c r="W163" s="933">
        <v>1</v>
      </c>
      <c r="Y163" s="595"/>
    </row>
    <row r="164" spans="2:25" ht="22.5" hidden="1" customHeight="1" outlineLevel="1">
      <c r="B164" s="367" t="str">
        <f>IF(Contents!$B$2=2,"Volgograd Region","Волгоградская область")</f>
        <v>Волгоградская область</v>
      </c>
      <c r="C164" s="53" t="str">
        <f>IF(Contents!$B$2=2,"people"," человек")</f>
        <v xml:space="preserve"> человек</v>
      </c>
      <c r="D164" s="46" t="s">
        <v>185</v>
      </c>
      <c r="E164" s="46" t="s">
        <v>185</v>
      </c>
      <c r="F164" s="46">
        <v>6</v>
      </c>
      <c r="G164" s="46">
        <v>1</v>
      </c>
      <c r="H164" s="46">
        <v>4</v>
      </c>
      <c r="I164" s="46">
        <v>6</v>
      </c>
      <c r="J164" s="46">
        <v>5</v>
      </c>
      <c r="K164" s="91">
        <v>7</v>
      </c>
      <c r="L164" s="91">
        <v>9</v>
      </c>
      <c r="M164" s="91">
        <v>4</v>
      </c>
      <c r="N164" s="89">
        <v>5</v>
      </c>
      <c r="O164" s="879"/>
      <c r="P164" s="558" t="str">
        <f>IF(Contents!$B$2=2,"Yes","Да")</f>
        <v>Да</v>
      </c>
      <c r="Q164" s="29"/>
      <c r="R164" s="39"/>
      <c r="S164" s="39"/>
      <c r="T164" s="39"/>
      <c r="U164" s="39"/>
      <c r="W164" s="933">
        <v>1</v>
      </c>
      <c r="Y164" s="595"/>
    </row>
    <row r="165" spans="2:25" ht="22.5" hidden="1" customHeight="1" outlineLevel="1">
      <c r="B165" s="367" t="str">
        <f>IF(Contents!$B$2=2,"Murmansk Region","Мурманская область")</f>
        <v>Мурманская область</v>
      </c>
      <c r="C165" s="53" t="str">
        <f>IF(Contents!$B$2=2,"people"," человек")</f>
        <v xml:space="preserve"> человек</v>
      </c>
      <c r="D165" s="46" t="s">
        <v>185</v>
      </c>
      <c r="E165" s="46" t="s">
        <v>185</v>
      </c>
      <c r="F165" s="46">
        <v>53</v>
      </c>
      <c r="G165" s="46">
        <v>64</v>
      </c>
      <c r="H165" s="46">
        <v>154</v>
      </c>
      <c r="I165" s="46">
        <v>272</v>
      </c>
      <c r="J165" s="46">
        <v>377</v>
      </c>
      <c r="K165" s="91">
        <v>435</v>
      </c>
      <c r="L165" s="91">
        <v>455</v>
      </c>
      <c r="M165" s="91">
        <v>293</v>
      </c>
      <c r="N165" s="89">
        <v>141</v>
      </c>
      <c r="O165" s="879"/>
      <c r="P165" s="558" t="str">
        <f>IF(Contents!$B$2=2,"Yes","Да")</f>
        <v>Да</v>
      </c>
      <c r="Q165" s="29"/>
      <c r="R165" s="39"/>
      <c r="S165" s="39"/>
      <c r="T165" s="39"/>
      <c r="U165" s="39"/>
      <c r="W165" s="933">
        <v>1</v>
      </c>
      <c r="Y165" s="595"/>
    </row>
    <row r="166" spans="2:25" ht="22.5" hidden="1" customHeight="1" outlineLevel="1">
      <c r="B166" s="367" t="str">
        <f>IF(Contents!$B$2=2,"Khanty-Mansiysk Autonomous Region","Ханты-Мансийский автономный округ")</f>
        <v>Ханты-Мансийский автономный округ</v>
      </c>
      <c r="C166" s="53" t="str">
        <f>IF(Contents!$B$2=2,"people"," человек")</f>
        <v xml:space="preserve"> человек</v>
      </c>
      <c r="D166" s="46" t="s">
        <v>185</v>
      </c>
      <c r="E166" s="46" t="s">
        <v>185</v>
      </c>
      <c r="F166" s="46">
        <v>0</v>
      </c>
      <c r="G166" s="46">
        <v>0</v>
      </c>
      <c r="H166" s="46">
        <v>1</v>
      </c>
      <c r="I166" s="46">
        <v>1</v>
      </c>
      <c r="J166" s="46">
        <v>0</v>
      </c>
      <c r="K166" s="91">
        <v>0</v>
      </c>
      <c r="L166" s="91">
        <v>0</v>
      </c>
      <c r="M166" s="91">
        <v>0</v>
      </c>
      <c r="N166" s="89">
        <v>0</v>
      </c>
      <c r="O166" s="879"/>
      <c r="P166" s="558" t="str">
        <f>IF(Contents!$B$2=2,"Yes","Да")</f>
        <v>Да</v>
      </c>
      <c r="Q166" s="29"/>
      <c r="R166" s="39"/>
      <c r="S166" s="39"/>
      <c r="T166" s="39"/>
      <c r="U166" s="39"/>
      <c r="W166" s="933">
        <v>1</v>
      </c>
      <c r="Y166" s="595"/>
    </row>
    <row r="167" spans="2:25" ht="22.5" hidden="1" customHeight="1" outlineLevel="1">
      <c r="B167" s="367" t="str">
        <f>IF(Contents!$B$2=2,"Perm Territory","Пермский край")</f>
        <v>Пермский край</v>
      </c>
      <c r="C167" s="53" t="str">
        <f>IF(Contents!$B$2=2,"people"," человек")</f>
        <v xml:space="preserve"> человек</v>
      </c>
      <c r="D167" s="46" t="s">
        <v>185</v>
      </c>
      <c r="E167" s="46" t="s">
        <v>185</v>
      </c>
      <c r="F167" s="46">
        <v>4</v>
      </c>
      <c r="G167" s="46">
        <v>3</v>
      </c>
      <c r="H167" s="46">
        <v>2</v>
      </c>
      <c r="I167" s="46">
        <v>3</v>
      </c>
      <c r="J167" s="46">
        <v>4</v>
      </c>
      <c r="K167" s="91">
        <v>3</v>
      </c>
      <c r="L167" s="91">
        <v>3</v>
      </c>
      <c r="M167" s="91">
        <v>3</v>
      </c>
      <c r="N167" s="89">
        <v>3</v>
      </c>
      <c r="O167" s="879"/>
      <c r="P167" s="558" t="str">
        <f>IF(Contents!$B$2=2,"Yes","Да")</f>
        <v>Да</v>
      </c>
      <c r="Q167" s="29"/>
      <c r="R167" s="39"/>
      <c r="S167" s="39"/>
      <c r="T167" s="39"/>
      <c r="U167" s="39"/>
      <c r="W167" s="933">
        <v>1</v>
      </c>
      <c r="Y167" s="595"/>
    </row>
    <row r="168" spans="2:25" ht="22.5" hidden="1" customHeight="1" outlineLevel="1">
      <c r="B168" s="367" t="str">
        <f>IF(Contents!$B$2=2,"Astrakhan Region","Астраханская область")</f>
        <v>Астраханская область</v>
      </c>
      <c r="C168" s="53" t="str">
        <f>IF(Contents!$B$2=2,"people"," человек")</f>
        <v xml:space="preserve"> человек</v>
      </c>
      <c r="D168" s="46" t="s">
        <v>185</v>
      </c>
      <c r="E168" s="46" t="s">
        <v>185</v>
      </c>
      <c r="F168" s="46">
        <v>0</v>
      </c>
      <c r="G168" s="46">
        <v>0</v>
      </c>
      <c r="H168" s="46">
        <v>0</v>
      </c>
      <c r="I168" s="46">
        <v>0</v>
      </c>
      <c r="J168" s="46">
        <v>0</v>
      </c>
      <c r="K168" s="91">
        <v>0</v>
      </c>
      <c r="L168" s="91">
        <v>0</v>
      </c>
      <c r="M168" s="91">
        <v>1</v>
      </c>
      <c r="N168" s="89">
        <v>1</v>
      </c>
      <c r="O168" s="879"/>
      <c r="P168" s="558" t="str">
        <f>IF(Contents!$B$2=2,"Yes","Да")</f>
        <v>Да</v>
      </c>
      <c r="Q168" s="29"/>
      <c r="R168" s="39"/>
      <c r="S168" s="39"/>
      <c r="T168" s="39"/>
      <c r="U168" s="39"/>
      <c r="W168" s="933">
        <v>1</v>
      </c>
      <c r="Y168" s="595"/>
    </row>
    <row r="169" spans="2:25" ht="22.5" hidden="1" customHeight="1" outlineLevel="1">
      <c r="B169" s="367" t="str">
        <f>IF(Contents!$B$2=2,"Krasnodar Territory","Краснодарский край")</f>
        <v>Краснодарский край</v>
      </c>
      <c r="C169" s="53" t="str">
        <f>IF(Contents!$B$2=2,"people"," человек")</f>
        <v xml:space="preserve"> человек</v>
      </c>
      <c r="D169" s="46" t="s">
        <v>185</v>
      </c>
      <c r="E169" s="46" t="s">
        <v>185</v>
      </c>
      <c r="F169" s="46">
        <v>0</v>
      </c>
      <c r="G169" s="46">
        <v>0</v>
      </c>
      <c r="H169" s="46">
        <v>2</v>
      </c>
      <c r="I169" s="46">
        <v>3</v>
      </c>
      <c r="J169" s="46">
        <v>2</v>
      </c>
      <c r="K169" s="91">
        <v>4</v>
      </c>
      <c r="L169" s="91">
        <v>5</v>
      </c>
      <c r="M169" s="91">
        <v>0</v>
      </c>
      <c r="N169" s="89">
        <v>0</v>
      </c>
      <c r="O169" s="879"/>
      <c r="P169" s="558" t="str">
        <f>IF(Contents!$B$2=2,"Yes","Да")</f>
        <v>Да</v>
      </c>
      <c r="Q169" s="29"/>
      <c r="R169" s="39"/>
      <c r="S169" s="39"/>
      <c r="T169" s="39"/>
      <c r="U169" s="39"/>
      <c r="W169" s="933">
        <v>1</v>
      </c>
      <c r="Y169" s="595"/>
    </row>
    <row r="170" spans="2:25" ht="22.5" hidden="1" customHeight="1" outlineLevel="1">
      <c r="B170" s="367" t="str">
        <f>IF(Contents!$B$2=2,"Samara Region","Самарская область")</f>
        <v>Самарская область</v>
      </c>
      <c r="C170" s="53" t="str">
        <f>IF(Contents!$B$2=2,"people"," человек")</f>
        <v xml:space="preserve"> человек</v>
      </c>
      <c r="D170" s="46" t="s">
        <v>185</v>
      </c>
      <c r="E170" s="46" t="s">
        <v>185</v>
      </c>
      <c r="F170" s="46">
        <v>0</v>
      </c>
      <c r="G170" s="46">
        <v>0</v>
      </c>
      <c r="H170" s="46">
        <v>0</v>
      </c>
      <c r="I170" s="46">
        <v>0</v>
      </c>
      <c r="J170" s="46">
        <v>1</v>
      </c>
      <c r="K170" s="91">
        <v>2</v>
      </c>
      <c r="L170" s="91">
        <v>3</v>
      </c>
      <c r="M170" s="91">
        <v>3</v>
      </c>
      <c r="N170" s="89">
        <v>2</v>
      </c>
      <c r="O170" s="879"/>
      <c r="P170" s="558" t="str">
        <f>IF(Contents!$B$2=2,"Yes","Да")</f>
        <v>Да</v>
      </c>
      <c r="Q170" s="29"/>
      <c r="R170" s="39"/>
      <c r="S170" s="39"/>
      <c r="T170" s="39"/>
      <c r="U170" s="39"/>
      <c r="W170" s="933">
        <v>1</v>
      </c>
      <c r="Y170" s="595"/>
    </row>
    <row r="171" spans="2:25" ht="22.5" hidden="1" customHeight="1" outlineLevel="1">
      <c r="B171" s="367" t="str">
        <f>IF(Contents!$B$2=2,"Arkhangelsk Region","Архангельская область")</f>
        <v>Архангельская область</v>
      </c>
      <c r="C171" s="53" t="str">
        <f>IF(Contents!$B$2=2,"people"," человек")</f>
        <v xml:space="preserve"> человек</v>
      </c>
      <c r="D171" s="46" t="s">
        <v>185</v>
      </c>
      <c r="E171" s="46" t="s">
        <v>185</v>
      </c>
      <c r="F171" s="46">
        <v>1</v>
      </c>
      <c r="G171" s="46">
        <v>1</v>
      </c>
      <c r="H171" s="46">
        <v>1</v>
      </c>
      <c r="I171" s="46">
        <v>1</v>
      </c>
      <c r="J171" s="46">
        <v>2</v>
      </c>
      <c r="K171" s="91">
        <v>2</v>
      </c>
      <c r="L171" s="91">
        <v>4</v>
      </c>
      <c r="M171" s="91">
        <v>4</v>
      </c>
      <c r="N171" s="89">
        <v>2</v>
      </c>
      <c r="O171" s="879"/>
      <c r="P171" s="558" t="str">
        <f>IF(Contents!$B$2=2,"Yes","Да")</f>
        <v>Да</v>
      </c>
      <c r="Q171" s="29"/>
      <c r="R171" s="39"/>
      <c r="S171" s="39"/>
      <c r="T171" s="39"/>
      <c r="U171" s="39"/>
      <c r="W171" s="933">
        <v>1</v>
      </c>
      <c r="Y171" s="595"/>
    </row>
    <row r="172" spans="2:25" ht="22.5" hidden="1" customHeight="1" outlineLevel="1">
      <c r="B172" s="367" t="str">
        <f>IF(Contents!$B$2=2,"Kamchatka Territory","Камчатский край")</f>
        <v>Камчатский край</v>
      </c>
      <c r="C172" s="53" t="str">
        <f>IF(Contents!$B$2=2,"people"," человек")</f>
        <v xml:space="preserve"> человек</v>
      </c>
      <c r="D172" s="46" t="s">
        <v>185</v>
      </c>
      <c r="E172" s="46" t="s">
        <v>185</v>
      </c>
      <c r="F172" s="46">
        <v>0</v>
      </c>
      <c r="G172" s="46">
        <v>1</v>
      </c>
      <c r="H172" s="46">
        <v>1</v>
      </c>
      <c r="I172" s="46">
        <v>1</v>
      </c>
      <c r="J172" s="46">
        <v>0</v>
      </c>
      <c r="K172" s="91">
        <v>8</v>
      </c>
      <c r="L172" s="91">
        <v>35</v>
      </c>
      <c r="M172" s="91">
        <v>2</v>
      </c>
      <c r="N172" s="89">
        <v>34</v>
      </c>
      <c r="O172" s="879"/>
      <c r="P172" s="558" t="str">
        <f>IF(Contents!$B$2=2,"Yes","Да")</f>
        <v>Да</v>
      </c>
      <c r="Q172" s="29"/>
      <c r="R172" s="39"/>
      <c r="S172" s="39"/>
      <c r="T172" s="39"/>
      <c r="U172" s="39"/>
      <c r="W172" s="933">
        <v>1</v>
      </c>
      <c r="Y172" s="595"/>
    </row>
    <row r="173" spans="2:25" ht="22.5" hidden="1" customHeight="1" outlineLevel="1">
      <c r="B173" s="367" t="str">
        <f>IF(Contents!$B$2=2,"Republic of Bashkortostan","Республика Башкортостан")</f>
        <v>Республика Башкортостан</v>
      </c>
      <c r="C173" s="53" t="str">
        <f>IF(Contents!$B$2=2,"people"," человек")</f>
        <v xml:space="preserve"> человек</v>
      </c>
      <c r="D173" s="46" t="s">
        <v>185</v>
      </c>
      <c r="E173" s="46" t="s">
        <v>185</v>
      </c>
      <c r="F173" s="46">
        <v>0</v>
      </c>
      <c r="G173" s="46">
        <v>0</v>
      </c>
      <c r="H173" s="46">
        <v>0</v>
      </c>
      <c r="I173" s="46">
        <v>0</v>
      </c>
      <c r="J173" s="46">
        <v>0</v>
      </c>
      <c r="K173" s="91">
        <v>1</v>
      </c>
      <c r="L173" s="91">
        <v>1</v>
      </c>
      <c r="M173" s="91">
        <v>0</v>
      </c>
      <c r="N173" s="89">
        <v>0</v>
      </c>
      <c r="O173" s="879"/>
      <c r="P173" s="558" t="str">
        <f>IF(Contents!$B$2=2,"Yes","Да")</f>
        <v>Да</v>
      </c>
      <c r="Q173" s="29"/>
      <c r="R173" s="39"/>
      <c r="S173" s="39"/>
      <c r="T173" s="39"/>
      <c r="U173" s="39"/>
      <c r="W173" s="933">
        <v>1</v>
      </c>
      <c r="Y173" s="595"/>
    </row>
    <row r="174" spans="2:25" ht="22.5" hidden="1" customHeight="1" outlineLevel="1">
      <c r="B174" s="367" t="str">
        <f>IF(Contents!$B$2=2,"Novosibirsk Region","Новосибирская область")</f>
        <v>Новосибирская область</v>
      </c>
      <c r="C174" s="53" t="str">
        <f>IF(Contents!$B$2=2,"people"," человек")</f>
        <v xml:space="preserve"> человек</v>
      </c>
      <c r="D174" s="46" t="s">
        <v>185</v>
      </c>
      <c r="E174" s="46" t="s">
        <v>185</v>
      </c>
      <c r="F174" s="46">
        <v>0</v>
      </c>
      <c r="G174" s="46">
        <v>0</v>
      </c>
      <c r="H174" s="46">
        <v>0</v>
      </c>
      <c r="I174" s="46">
        <v>0</v>
      </c>
      <c r="J174" s="46">
        <v>0</v>
      </c>
      <c r="K174" s="91">
        <v>0</v>
      </c>
      <c r="L174" s="91">
        <v>0</v>
      </c>
      <c r="M174" s="91">
        <v>0</v>
      </c>
      <c r="N174" s="89">
        <v>0</v>
      </c>
      <c r="O174" s="879"/>
      <c r="P174" s="558" t="str">
        <f>IF(Contents!$B$2=2,"Yes","Да")</f>
        <v>Да</v>
      </c>
      <c r="Q174" s="29"/>
      <c r="R174" s="39"/>
      <c r="S174" s="39"/>
      <c r="T174" s="39"/>
      <c r="U174" s="39"/>
      <c r="W174" s="933">
        <v>1</v>
      </c>
      <c r="Y174" s="595"/>
    </row>
    <row r="175" spans="2:25" ht="22.5" hidden="1" customHeight="1" outlineLevel="1">
      <c r="B175" s="367" t="str">
        <f>IF(Contents!$B$2=2,"Stavropol Territory","Ставропольский край")</f>
        <v>Ставропольский край</v>
      </c>
      <c r="C175" s="53" t="str">
        <f>IF(Contents!$B$2=2,"people"," человек")</f>
        <v xml:space="preserve"> человек</v>
      </c>
      <c r="D175" s="46" t="s">
        <v>185</v>
      </c>
      <c r="E175" s="46" t="s">
        <v>185</v>
      </c>
      <c r="F175" s="46">
        <v>0</v>
      </c>
      <c r="G175" s="46">
        <v>0</v>
      </c>
      <c r="H175" s="46">
        <v>0</v>
      </c>
      <c r="I175" s="46">
        <v>0</v>
      </c>
      <c r="J175" s="46">
        <v>0</v>
      </c>
      <c r="K175" s="91">
        <v>0</v>
      </c>
      <c r="L175" s="91">
        <v>0</v>
      </c>
      <c r="M175" s="91">
        <v>0</v>
      </c>
      <c r="N175" s="89">
        <v>0</v>
      </c>
      <c r="O175" s="879"/>
      <c r="P175" s="558" t="str">
        <f>IF(Contents!$B$2=2,"Yes","Да")</f>
        <v>Да</v>
      </c>
      <c r="Q175" s="29"/>
      <c r="R175" s="39"/>
      <c r="S175" s="39"/>
      <c r="T175" s="39"/>
      <c r="U175" s="39"/>
      <c r="W175" s="933">
        <v>1</v>
      </c>
      <c r="Y175" s="595"/>
    </row>
    <row r="176" spans="2:25" ht="22.5" hidden="1" customHeight="1" outlineLevel="1">
      <c r="B176" s="367" t="str">
        <f>IF(Contents!$B$2=2,"Sverdlovsk Region","Свердловская область")</f>
        <v>Свердловская область</v>
      </c>
      <c r="C176" s="53" t="str">
        <f>IF(Contents!$B$2=2,"people"," человек")</f>
        <v xml:space="preserve"> человек</v>
      </c>
      <c r="D176" s="46" t="s">
        <v>185</v>
      </c>
      <c r="E176" s="46" t="s">
        <v>185</v>
      </c>
      <c r="F176" s="46">
        <v>0</v>
      </c>
      <c r="G176" s="46">
        <v>0</v>
      </c>
      <c r="H176" s="46">
        <v>0</v>
      </c>
      <c r="I176" s="46">
        <v>0</v>
      </c>
      <c r="J176" s="46">
        <v>0</v>
      </c>
      <c r="K176" s="91">
        <v>0</v>
      </c>
      <c r="L176" s="91">
        <v>0</v>
      </c>
      <c r="M176" s="91">
        <v>0</v>
      </c>
      <c r="N176" s="89">
        <v>0</v>
      </c>
      <c r="O176" s="879"/>
      <c r="P176" s="558" t="str">
        <f>IF(Contents!$B$2=2,"Yes","Да")</f>
        <v>Да</v>
      </c>
      <c r="Q176" s="29"/>
      <c r="R176" s="39"/>
      <c r="S176" s="39"/>
      <c r="T176" s="39"/>
      <c r="U176" s="39"/>
      <c r="W176" s="933">
        <v>1</v>
      </c>
      <c r="Y176" s="595"/>
    </row>
    <row r="177" spans="2:25" ht="22.5" hidden="1" customHeight="1" outlineLevel="1">
      <c r="B177" s="367" t="str">
        <f>IF(Contents!$B$2=2,"Tver region","Тверская область")</f>
        <v>Тверская область</v>
      </c>
      <c r="C177" s="53" t="str">
        <f>IF(Contents!$B$2=2,"people"," человек")</f>
        <v xml:space="preserve"> человек</v>
      </c>
      <c r="D177" s="46" t="s">
        <v>185</v>
      </c>
      <c r="E177" s="46" t="s">
        <v>185</v>
      </c>
      <c r="F177" s="46">
        <v>0</v>
      </c>
      <c r="G177" s="46">
        <v>0</v>
      </c>
      <c r="H177" s="46">
        <v>0</v>
      </c>
      <c r="I177" s="46">
        <v>0</v>
      </c>
      <c r="J177" s="46">
        <v>0</v>
      </c>
      <c r="K177" s="91">
        <v>0</v>
      </c>
      <c r="L177" s="91">
        <v>0</v>
      </c>
      <c r="M177" s="91">
        <v>0</v>
      </c>
      <c r="N177" s="89">
        <v>0</v>
      </c>
      <c r="O177" s="879"/>
      <c r="P177" s="558" t="str">
        <f>IF(Contents!$B$2=2,"Yes","Да")</f>
        <v>Да</v>
      </c>
      <c r="Q177" s="29"/>
      <c r="R177" s="39"/>
      <c r="S177" s="39"/>
      <c r="T177" s="39"/>
      <c r="U177" s="39"/>
      <c r="W177" s="933">
        <v>1</v>
      </c>
      <c r="Y177" s="595"/>
    </row>
    <row r="178" spans="2:25" ht="22.5" hidden="1" customHeight="1" outlineLevel="1">
      <c r="B178" s="367" t="str">
        <f>IF(Contents!$B$2=2,"Tula Region","Тульская область")</f>
        <v>Тульская область</v>
      </c>
      <c r="C178" s="53" t="str">
        <f>IF(Contents!$B$2=2,"people"," человек")</f>
        <v xml:space="preserve"> человек</v>
      </c>
      <c r="D178" s="46" t="s">
        <v>185</v>
      </c>
      <c r="E178" s="46" t="s">
        <v>185</v>
      </c>
      <c r="F178" s="46">
        <v>0</v>
      </c>
      <c r="G178" s="46">
        <v>0</v>
      </c>
      <c r="H178" s="46">
        <v>0</v>
      </c>
      <c r="I178" s="46">
        <v>0</v>
      </c>
      <c r="J178" s="46">
        <v>0</v>
      </c>
      <c r="K178" s="91">
        <v>0</v>
      </c>
      <c r="L178" s="91">
        <v>1</v>
      </c>
      <c r="M178" s="91">
        <v>3</v>
      </c>
      <c r="N178" s="89">
        <v>4</v>
      </c>
      <c r="O178" s="879"/>
      <c r="P178" s="558" t="str">
        <f>IF(Contents!$B$2=2,"Yes","Да")</f>
        <v>Да</v>
      </c>
      <c r="Q178" s="29"/>
      <c r="R178" s="39"/>
      <c r="S178" s="39"/>
      <c r="T178" s="39"/>
      <c r="U178" s="39"/>
      <c r="W178" s="933">
        <v>1</v>
      </c>
      <c r="Y178" s="595"/>
    </row>
    <row r="179" spans="2:25" ht="22.5" hidden="1" customHeight="1" outlineLevel="1">
      <c r="B179" s="367" t="str">
        <f>IF(Contents!$B$2=2,"Republic of Tatarstan","Республика Татарстан")</f>
        <v>Республика Татарстан</v>
      </c>
      <c r="C179" s="53" t="str">
        <f>IF(Contents!$B$2=2,"people"," человек")</f>
        <v xml:space="preserve"> человек</v>
      </c>
      <c r="D179" s="46" t="s">
        <v>185</v>
      </c>
      <c r="E179" s="46" t="s">
        <v>185</v>
      </c>
      <c r="F179" s="46">
        <v>0</v>
      </c>
      <c r="G179" s="46">
        <v>0</v>
      </c>
      <c r="H179" s="46">
        <v>0</v>
      </c>
      <c r="I179" s="46">
        <v>0</v>
      </c>
      <c r="J179" s="46">
        <v>0</v>
      </c>
      <c r="K179" s="91">
        <v>0</v>
      </c>
      <c r="L179" s="91">
        <v>0</v>
      </c>
      <c r="M179" s="91">
        <v>0</v>
      </c>
      <c r="N179" s="89">
        <v>0</v>
      </c>
      <c r="O179" s="879"/>
      <c r="P179" s="558" t="str">
        <f>IF(Contents!$B$2=2,"Yes","Да")</f>
        <v>Да</v>
      </c>
      <c r="Q179" s="29"/>
      <c r="R179" s="39"/>
      <c r="S179" s="39"/>
      <c r="T179" s="39"/>
      <c r="U179" s="39"/>
      <c r="W179" s="933">
        <v>1</v>
      </c>
      <c r="Y179" s="595"/>
    </row>
    <row r="180" spans="2:25" ht="22.5" hidden="1" customHeight="1" outlineLevel="1">
      <c r="B180" s="367" t="str">
        <f>IF(Contents!$B$2=2,"Vladimir Region","Владимирская область")</f>
        <v>Владимирская область</v>
      </c>
      <c r="C180" s="53" t="str">
        <f>IF(Contents!$B$2=2,"people"," человек")</f>
        <v xml:space="preserve"> человек</v>
      </c>
      <c r="D180" s="46" t="s">
        <v>185</v>
      </c>
      <c r="E180" s="46" t="s">
        <v>185</v>
      </c>
      <c r="F180" s="46">
        <v>0</v>
      </c>
      <c r="G180" s="46">
        <v>0</v>
      </c>
      <c r="H180" s="46">
        <v>0</v>
      </c>
      <c r="I180" s="46">
        <v>0</v>
      </c>
      <c r="J180" s="46">
        <v>0</v>
      </c>
      <c r="K180" s="91">
        <v>0</v>
      </c>
      <c r="L180" s="91">
        <v>0</v>
      </c>
      <c r="M180" s="91">
        <v>0</v>
      </c>
      <c r="N180" s="89">
        <v>0</v>
      </c>
      <c r="O180" s="879"/>
      <c r="P180" s="558" t="str">
        <f>IF(Contents!$B$2=2,"Yes","Да")</f>
        <v>Да</v>
      </c>
      <c r="Q180" s="29"/>
      <c r="R180" s="39"/>
      <c r="S180" s="39"/>
      <c r="T180" s="39"/>
      <c r="U180" s="39"/>
      <c r="W180" s="933">
        <v>1</v>
      </c>
      <c r="Y180" s="595"/>
    </row>
    <row r="181" spans="2:25" ht="22.5" hidden="1" customHeight="1" outlineLevel="1">
      <c r="B181" s="367" t="str">
        <f>IF(Contents!$B$2=2,"Penza Region","Пензенская область")</f>
        <v>Пензенская область</v>
      </c>
      <c r="C181" s="53" t="str">
        <f>IF(Contents!$B$2=2,"people"," человек")</f>
        <v xml:space="preserve"> человек</v>
      </c>
      <c r="D181" s="46" t="s">
        <v>185</v>
      </c>
      <c r="E181" s="46" t="s">
        <v>185</v>
      </c>
      <c r="F181" s="46">
        <v>0</v>
      </c>
      <c r="G181" s="46">
        <v>0</v>
      </c>
      <c r="H181" s="46">
        <v>0</v>
      </c>
      <c r="I181" s="46">
        <v>0</v>
      </c>
      <c r="J181" s="46">
        <v>0</v>
      </c>
      <c r="K181" s="91">
        <v>0</v>
      </c>
      <c r="L181" s="91">
        <v>0</v>
      </c>
      <c r="M181" s="91">
        <v>0</v>
      </c>
      <c r="N181" s="89">
        <v>0</v>
      </c>
      <c r="O181" s="879"/>
      <c r="P181" s="558" t="str">
        <f>IF(Contents!$B$2=2,"Yes","Да")</f>
        <v>Да</v>
      </c>
      <c r="Q181" s="29"/>
      <c r="R181" s="39"/>
      <c r="S181" s="39"/>
      <c r="T181" s="39"/>
      <c r="U181" s="39"/>
      <c r="W181" s="933">
        <v>1</v>
      </c>
      <c r="Y181" s="595"/>
    </row>
    <row r="182" spans="2:25" ht="22.5" hidden="1" customHeight="1" outlineLevel="1">
      <c r="B182" s="368" t="str">
        <f>IF(Contents!$B$2=2,"Nizhny Novgorod region","Нижегородская область")</f>
        <v>Нижегородская область</v>
      </c>
      <c r="C182" s="53" t="str">
        <f>IF(Contents!$B$2=2,"people"," человек")</f>
        <v xml:space="preserve"> человек</v>
      </c>
      <c r="D182" s="46" t="s">
        <v>185</v>
      </c>
      <c r="E182" s="46" t="s">
        <v>185</v>
      </c>
      <c r="F182" s="46">
        <v>0</v>
      </c>
      <c r="G182" s="46">
        <v>0</v>
      </c>
      <c r="H182" s="46">
        <v>0</v>
      </c>
      <c r="I182" s="46">
        <v>0</v>
      </c>
      <c r="J182" s="46">
        <v>0</v>
      </c>
      <c r="K182" s="91">
        <v>0</v>
      </c>
      <c r="L182" s="91">
        <v>0</v>
      </c>
      <c r="M182" s="91">
        <v>0</v>
      </c>
      <c r="N182" s="89">
        <v>0</v>
      </c>
      <c r="O182" s="879"/>
      <c r="P182" s="558" t="str">
        <f>IF(Contents!$B$2=2,"Yes","Да")</f>
        <v>Да</v>
      </c>
      <c r="Q182" s="29"/>
      <c r="R182" s="39"/>
      <c r="S182" s="39"/>
      <c r="T182" s="39"/>
      <c r="U182" s="39"/>
      <c r="W182" s="933">
        <v>1</v>
      </c>
      <c r="Y182" s="595"/>
    </row>
    <row r="183" spans="2:25" ht="22.5" hidden="1" customHeight="1" outlineLevel="1">
      <c r="B183" s="368" t="str">
        <f>IF(Contents!$B$2=2,"Primorsky Krai","Приморский край")</f>
        <v>Приморский край</v>
      </c>
      <c r="C183" s="53" t="str">
        <f>IF(Contents!$B$2=2,"people"," человек")</f>
        <v xml:space="preserve"> человек</v>
      </c>
      <c r="D183" s="46" t="s">
        <v>185</v>
      </c>
      <c r="E183" s="46" t="s">
        <v>185</v>
      </c>
      <c r="F183" s="46">
        <v>0</v>
      </c>
      <c r="G183" s="46">
        <v>0</v>
      </c>
      <c r="H183" s="46">
        <v>0</v>
      </c>
      <c r="I183" s="46">
        <v>0</v>
      </c>
      <c r="J183" s="46">
        <v>0</v>
      </c>
      <c r="K183" s="91">
        <v>0</v>
      </c>
      <c r="L183" s="91">
        <v>0</v>
      </c>
      <c r="M183" s="91">
        <v>74</v>
      </c>
      <c r="N183" s="89">
        <v>88</v>
      </c>
      <c r="O183" s="879"/>
      <c r="P183" s="558" t="str">
        <f>IF(Contents!$B$2=2,"Yes","Да")</f>
        <v>Да</v>
      </c>
      <c r="Q183" s="29"/>
      <c r="R183" s="39"/>
      <c r="S183" s="39"/>
      <c r="T183" s="39"/>
      <c r="U183" s="39"/>
      <c r="W183" s="933">
        <v>1</v>
      </c>
      <c r="Y183" s="595"/>
    </row>
    <row r="184" spans="2:25" ht="22.5" hidden="1" customHeight="1" outlineLevel="1">
      <c r="B184" s="368" t="str">
        <f>IF(Contents!$B$2=2,"Republic of Mari El","Республика Марий Эл")</f>
        <v>Республика Марий Эл</v>
      </c>
      <c r="C184" s="53" t="str">
        <f>IF(Contents!$B$2=2,"people"," человек")</f>
        <v xml:space="preserve"> человек</v>
      </c>
      <c r="D184" s="46" t="s">
        <v>185</v>
      </c>
      <c r="E184" s="46" t="s">
        <v>185</v>
      </c>
      <c r="F184" s="46">
        <v>0</v>
      </c>
      <c r="G184" s="46">
        <v>0</v>
      </c>
      <c r="H184" s="46">
        <v>0</v>
      </c>
      <c r="I184" s="46">
        <v>0</v>
      </c>
      <c r="J184" s="46">
        <v>0</v>
      </c>
      <c r="K184" s="91">
        <v>0</v>
      </c>
      <c r="L184" s="91">
        <v>0</v>
      </c>
      <c r="M184" s="91">
        <v>0</v>
      </c>
      <c r="N184" s="89">
        <v>0</v>
      </c>
      <c r="O184" s="879"/>
      <c r="P184" s="558" t="str">
        <f>IF(Contents!$B$2=2,"Yes","Да")</f>
        <v>Да</v>
      </c>
      <c r="Q184" s="29"/>
      <c r="R184" s="39"/>
      <c r="S184" s="39"/>
      <c r="T184" s="39"/>
      <c r="U184" s="39"/>
      <c r="W184" s="933">
        <v>1</v>
      </c>
      <c r="Y184" s="595"/>
    </row>
    <row r="185" spans="2:25" ht="22.35" hidden="1" customHeight="1" outlineLevel="1">
      <c r="B185" s="368" t="str">
        <f>IF(Contents!$B$2=2,"Chuvash Republic","Чувашская республика")</f>
        <v>Чувашская республика</v>
      </c>
      <c r="C185" s="53" t="str">
        <f>IF(Contents!$B$2=2,"people"," человек")</f>
        <v xml:space="preserve"> человек</v>
      </c>
      <c r="D185" s="46" t="s">
        <v>185</v>
      </c>
      <c r="E185" s="46" t="s">
        <v>185</v>
      </c>
      <c r="F185" s="90" t="s">
        <v>185</v>
      </c>
      <c r="G185" s="90" t="s">
        <v>185</v>
      </c>
      <c r="H185" s="90" t="s">
        <v>185</v>
      </c>
      <c r="I185" s="46" t="s">
        <v>185</v>
      </c>
      <c r="J185" s="46" t="s">
        <v>185</v>
      </c>
      <c r="K185" s="46" t="s">
        <v>185</v>
      </c>
      <c r="L185" s="46" t="s">
        <v>185</v>
      </c>
      <c r="M185" s="46" t="s">
        <v>185</v>
      </c>
      <c r="N185" s="89">
        <v>0</v>
      </c>
      <c r="O185" s="879"/>
      <c r="P185" s="558" t="str">
        <f>IF(Contents!$B$2=2,"Yes","Да")</f>
        <v>Да</v>
      </c>
      <c r="Q185" s="29"/>
      <c r="R185" s="39"/>
      <c r="S185" s="39"/>
      <c r="T185" s="39"/>
      <c r="U185" s="39"/>
      <c r="W185" s="933">
        <v>1</v>
      </c>
      <c r="Y185" s="595"/>
    </row>
    <row r="186" spans="2:25" ht="22.5" customHeight="1" collapsed="1">
      <c r="B186" s="78" t="str">
        <f>IF(Contents!$B$2=2,"Other countries","Прочие страны")</f>
        <v>Прочие страны</v>
      </c>
      <c r="C186" s="53" t="str">
        <f>IF(Contents!$B$2=2,"people"," человек")</f>
        <v xml:space="preserve"> человек</v>
      </c>
      <c r="D186" s="46" t="s">
        <v>185</v>
      </c>
      <c r="E186" s="46" t="s">
        <v>185</v>
      </c>
      <c r="F186" s="46">
        <v>39</v>
      </c>
      <c r="G186" s="46">
        <v>59</v>
      </c>
      <c r="H186" s="46">
        <v>61</v>
      </c>
      <c r="I186" s="46">
        <v>51</v>
      </c>
      <c r="J186" s="46">
        <v>56</v>
      </c>
      <c r="K186" s="91">
        <v>22</v>
      </c>
      <c r="L186" s="91">
        <v>27</v>
      </c>
      <c r="M186" s="91">
        <v>40</v>
      </c>
      <c r="N186" s="89">
        <v>40</v>
      </c>
      <c r="O186" s="879"/>
      <c r="P186" s="558" t="str">
        <f>IF(Contents!$B$2=2,"Yes","Да")</f>
        <v>Да</v>
      </c>
      <c r="Q186" s="29"/>
      <c r="R186" s="39"/>
      <c r="S186" s="39"/>
      <c r="T186" s="39"/>
      <c r="U186" s="39"/>
      <c r="W186" s="933">
        <v>1</v>
      </c>
      <c r="Y186" s="595"/>
    </row>
    <row r="187" spans="2:25" ht="22.5" customHeight="1">
      <c r="B187" s="78"/>
      <c r="C187" s="53"/>
      <c r="D187" s="377"/>
      <c r="E187" s="377"/>
      <c r="F187" s="377"/>
      <c r="G187" s="377"/>
      <c r="H187" s="377"/>
      <c r="I187" s="377"/>
      <c r="J187" s="377"/>
      <c r="K187" s="377"/>
      <c r="L187" s="377"/>
      <c r="M187" s="377"/>
      <c r="N187" s="377"/>
      <c r="O187" s="29"/>
      <c r="P187" s="558"/>
      <c r="Q187" s="29"/>
      <c r="R187" s="39"/>
      <c r="S187" s="39"/>
      <c r="T187" s="39"/>
      <c r="U187" s="39"/>
      <c r="Y187" s="595"/>
    </row>
    <row r="188" spans="2:25" ht="20.100000000000001" customHeight="1">
      <c r="B188" s="45" t="str">
        <f>IF(Contents!$B$2=2,"Distribution of employees by type of employment","Распределение работников по типу занятости")</f>
        <v>Распределение работников по типу занятости</v>
      </c>
      <c r="C188" s="105"/>
      <c r="D188" s="106"/>
      <c r="E188" s="106"/>
      <c r="F188" s="106"/>
      <c r="G188" s="106"/>
      <c r="H188" s="106"/>
      <c r="I188" s="363"/>
      <c r="J188" s="363"/>
      <c r="K188" s="363"/>
      <c r="L188" s="363"/>
      <c r="M188" s="363"/>
      <c r="N188" s="363"/>
      <c r="O188" s="40"/>
      <c r="P188" s="558"/>
      <c r="Q188" s="40"/>
      <c r="R188" s="39"/>
      <c r="S188" s="39"/>
      <c r="T188" s="39"/>
      <c r="U188" s="39"/>
    </row>
    <row r="189" spans="2:25" ht="22.5" customHeight="1">
      <c r="B189" s="371" t="str">
        <f>IF(Contents!$B$2=2,"Full-time","Полная занятость")</f>
        <v>Полная занятость</v>
      </c>
      <c r="C189" s="49" t="str">
        <f>IF(Contents!$B$2=2,"people"," человек")</f>
        <v xml:space="preserve"> человек</v>
      </c>
      <c r="D189" s="372" t="s">
        <v>185</v>
      </c>
      <c r="E189" s="372" t="s">
        <v>185</v>
      </c>
      <c r="F189" s="372">
        <v>12188</v>
      </c>
      <c r="G189" s="372">
        <v>13642</v>
      </c>
      <c r="H189" s="372">
        <v>15386</v>
      </c>
      <c r="I189" s="372">
        <v>16769</v>
      </c>
      <c r="J189" s="372">
        <v>18320</v>
      </c>
      <c r="K189" s="372">
        <v>19473</v>
      </c>
      <c r="L189" s="372">
        <v>20812</v>
      </c>
      <c r="M189" s="372">
        <v>21926</v>
      </c>
      <c r="N189" s="372">
        <v>23478</v>
      </c>
      <c r="O189" s="879"/>
      <c r="P189" s="558" t="str">
        <f>IF(Contents!$B$2=2,"Yes","Да")</f>
        <v>Да</v>
      </c>
      <c r="Q189" s="29"/>
      <c r="R189" s="39" t="s">
        <v>122</v>
      </c>
      <c r="S189" s="39"/>
      <c r="T189" s="39" t="s">
        <v>123</v>
      </c>
      <c r="U189" s="39"/>
      <c r="W189" s="933">
        <v>1</v>
      </c>
      <c r="Y189" s="595"/>
    </row>
    <row r="190" spans="2:25" ht="22.5" customHeight="1">
      <c r="B190" s="93" t="str">
        <f>IF(Contents!$B$2=2,"Male","Мужчины")</f>
        <v>Мужчины</v>
      </c>
      <c r="C190" s="53" t="str">
        <f>IF(Contents!$B$2=2,"people"," человек")</f>
        <v xml:space="preserve"> человек</v>
      </c>
      <c r="D190" s="46" t="s">
        <v>185</v>
      </c>
      <c r="E190" s="46" t="s">
        <v>185</v>
      </c>
      <c r="F190" s="46">
        <v>9188</v>
      </c>
      <c r="G190" s="46">
        <v>10380</v>
      </c>
      <c r="H190" s="46">
        <v>11810</v>
      </c>
      <c r="I190" s="38">
        <v>12906</v>
      </c>
      <c r="J190" s="38">
        <v>14289</v>
      </c>
      <c r="K190" s="38">
        <v>15264</v>
      </c>
      <c r="L190" s="38">
        <v>16444</v>
      </c>
      <c r="M190" s="38">
        <v>17498</v>
      </c>
      <c r="N190" s="89">
        <v>18998</v>
      </c>
      <c r="O190" s="879"/>
      <c r="P190" s="558" t="str">
        <f>IF(Contents!$B$2=2,"Yes","Да")</f>
        <v>Да</v>
      </c>
      <c r="Q190" s="29"/>
      <c r="R190" s="39"/>
      <c r="S190" s="39"/>
      <c r="T190" s="39"/>
      <c r="U190" s="39"/>
      <c r="W190" s="933">
        <v>1</v>
      </c>
      <c r="Y190" s="595"/>
    </row>
    <row r="191" spans="2:25" ht="22.5" customHeight="1">
      <c r="B191" s="93" t="str">
        <f>IF(Contents!$B$2=2,"Female","Женщины")</f>
        <v>Женщины</v>
      </c>
      <c r="C191" s="53" t="str">
        <f>IF(Contents!$B$2=2,"people"," человек")</f>
        <v xml:space="preserve"> человек</v>
      </c>
      <c r="D191" s="46" t="s">
        <v>185</v>
      </c>
      <c r="E191" s="46" t="s">
        <v>185</v>
      </c>
      <c r="F191" s="46">
        <v>3000</v>
      </c>
      <c r="G191" s="46">
        <v>3262</v>
      </c>
      <c r="H191" s="46">
        <v>3576</v>
      </c>
      <c r="I191" s="38">
        <v>3863</v>
      </c>
      <c r="J191" s="38">
        <v>4031</v>
      </c>
      <c r="K191" s="38">
        <v>4209</v>
      </c>
      <c r="L191" s="38">
        <v>4368</v>
      </c>
      <c r="M191" s="38">
        <v>4428</v>
      </c>
      <c r="N191" s="89">
        <v>4480</v>
      </c>
      <c r="O191" s="879"/>
      <c r="P191" s="558" t="str">
        <f>IF(Contents!$B$2=2,"Yes","Да")</f>
        <v>Да</v>
      </c>
      <c r="Q191" s="29"/>
      <c r="R191" s="39"/>
      <c r="S191" s="39"/>
      <c r="T191" s="39"/>
      <c r="U191" s="39"/>
      <c r="W191" s="933">
        <v>1</v>
      </c>
      <c r="Y191" s="595"/>
    </row>
    <row r="192" spans="2:25">
      <c r="B192" s="78"/>
      <c r="C192" s="53"/>
      <c r="D192" s="46"/>
      <c r="E192" s="46"/>
      <c r="F192" s="46"/>
      <c r="G192" s="46"/>
      <c r="H192" s="46"/>
      <c r="I192" s="38"/>
      <c r="J192" s="38"/>
      <c r="K192" s="38"/>
      <c r="L192" s="38"/>
      <c r="M192" s="38"/>
      <c r="N192" s="38"/>
      <c r="O192" s="38"/>
      <c r="P192" s="558"/>
      <c r="Q192" s="29"/>
      <c r="R192" s="39"/>
      <c r="S192" s="39"/>
      <c r="T192" s="39"/>
      <c r="U192" s="39"/>
      <c r="Y192" s="595"/>
    </row>
    <row r="193" spans="1:48" ht="21.6" customHeight="1">
      <c r="B193" s="371" t="str">
        <f>IF(Contents!$B$2=2,"Part-time","Неполная занятость")</f>
        <v>Неполная занятость</v>
      </c>
      <c r="C193" s="49" t="str">
        <f>IF(Contents!$B$2=2,"people"," человек")</f>
        <v xml:space="preserve"> человек</v>
      </c>
      <c r="D193" s="372" t="s">
        <v>185</v>
      </c>
      <c r="E193" s="372" t="s">
        <v>185</v>
      </c>
      <c r="F193" s="372">
        <v>48</v>
      </c>
      <c r="G193" s="372">
        <v>52</v>
      </c>
      <c r="H193" s="372">
        <v>59</v>
      </c>
      <c r="I193" s="372">
        <v>52</v>
      </c>
      <c r="J193" s="372">
        <v>84</v>
      </c>
      <c r="K193" s="372">
        <v>97</v>
      </c>
      <c r="L193" s="372">
        <v>93</v>
      </c>
      <c r="M193" s="372">
        <v>110</v>
      </c>
      <c r="N193" s="372">
        <v>115</v>
      </c>
      <c r="O193" s="879"/>
      <c r="P193" s="558" t="str">
        <f>IF(Contents!$B$2=2,"Yes","Да")</f>
        <v>Да</v>
      </c>
      <c r="Q193" s="29"/>
      <c r="R193" s="39" t="s">
        <v>122</v>
      </c>
      <c r="S193" s="39"/>
      <c r="T193" s="39" t="s">
        <v>123</v>
      </c>
      <c r="U193" s="39"/>
      <c r="V193" s="632"/>
      <c r="W193" s="935">
        <v>1</v>
      </c>
      <c r="Y193" s="595"/>
    </row>
    <row r="194" spans="1:48" ht="22.5" customHeight="1">
      <c r="B194" s="93" t="str">
        <f>IF(Contents!$B$2=2,"Male","Мужчины")</f>
        <v>Мужчины</v>
      </c>
      <c r="C194" s="53" t="str">
        <f>IF(Contents!$B$2=2,"people"," человек")</f>
        <v xml:space="preserve"> человек</v>
      </c>
      <c r="D194" s="46" t="s">
        <v>185</v>
      </c>
      <c r="E194" s="46" t="s">
        <v>185</v>
      </c>
      <c r="F194" s="46">
        <v>8</v>
      </c>
      <c r="G194" s="46">
        <v>11</v>
      </c>
      <c r="H194" s="46">
        <v>15</v>
      </c>
      <c r="I194" s="38">
        <v>14</v>
      </c>
      <c r="J194" s="38">
        <v>28</v>
      </c>
      <c r="K194" s="38">
        <v>37</v>
      </c>
      <c r="L194" s="38">
        <v>28</v>
      </c>
      <c r="M194" s="38">
        <v>42</v>
      </c>
      <c r="N194" s="89">
        <v>52</v>
      </c>
      <c r="O194" s="879"/>
      <c r="P194" s="558" t="str">
        <f>IF(Contents!$B$2=2,"Yes","Да")</f>
        <v>Да</v>
      </c>
      <c r="Q194" s="29"/>
      <c r="R194" s="39"/>
      <c r="S194" s="39"/>
      <c r="T194" s="39"/>
      <c r="U194" s="39"/>
      <c r="W194" s="933">
        <v>1</v>
      </c>
      <c r="Y194" s="595"/>
    </row>
    <row r="195" spans="1:48" ht="22.5" customHeight="1">
      <c r="B195" s="93" t="str">
        <f>IF(Contents!$B$2=2,"Female","Женщины")</f>
        <v>Женщины</v>
      </c>
      <c r="C195" s="53" t="str">
        <f>IF(Contents!$B$2=2,"people"," человек")</f>
        <v xml:space="preserve"> человек</v>
      </c>
      <c r="D195" s="46" t="s">
        <v>185</v>
      </c>
      <c r="E195" s="46" t="s">
        <v>185</v>
      </c>
      <c r="F195" s="46">
        <v>40</v>
      </c>
      <c r="G195" s="46">
        <v>41</v>
      </c>
      <c r="H195" s="46">
        <v>44</v>
      </c>
      <c r="I195" s="38">
        <v>38</v>
      </c>
      <c r="J195" s="38">
        <v>56</v>
      </c>
      <c r="K195" s="38">
        <v>60</v>
      </c>
      <c r="L195" s="38">
        <v>65</v>
      </c>
      <c r="M195" s="38">
        <v>68</v>
      </c>
      <c r="N195" s="89">
        <v>63</v>
      </c>
      <c r="O195" s="879"/>
      <c r="P195" s="558" t="str">
        <f>IF(Contents!$B$2=2,"Yes","Да")</f>
        <v>Да</v>
      </c>
      <c r="Q195" s="29"/>
      <c r="R195" s="39"/>
      <c r="S195" s="39"/>
      <c r="T195" s="39"/>
      <c r="U195" s="39"/>
      <c r="W195" s="933">
        <v>1</v>
      </c>
      <c r="Y195" s="595"/>
    </row>
    <row r="196" spans="1:48" ht="22.5" customHeight="1">
      <c r="B196" s="78"/>
      <c r="C196" s="53"/>
      <c r="D196" s="46"/>
      <c r="E196" s="46"/>
      <c r="F196" s="46"/>
      <c r="G196" s="46"/>
      <c r="H196" s="46"/>
      <c r="I196" s="38"/>
      <c r="J196" s="38"/>
      <c r="K196" s="38"/>
      <c r="L196" s="38"/>
      <c r="M196" s="38"/>
      <c r="N196" s="38"/>
      <c r="O196" s="38"/>
      <c r="P196" s="558"/>
      <c r="Q196" s="38"/>
      <c r="R196" s="39"/>
      <c r="S196" s="39"/>
      <c r="T196" s="39"/>
      <c r="U196" s="39"/>
      <c r="Y196" s="595"/>
    </row>
    <row r="197" spans="1:48" ht="20.100000000000001" customHeight="1">
      <c r="B197" s="45" t="str">
        <f>IF(Contents!$B$2=2,"Personnel diversity","Многообразие персонала")</f>
        <v>Многообразие персонала</v>
      </c>
      <c r="C197" s="105"/>
      <c r="D197" s="106"/>
      <c r="E197" s="106"/>
      <c r="F197" s="106"/>
      <c r="G197" s="106"/>
      <c r="H197" s="106"/>
      <c r="I197" s="363"/>
      <c r="J197" s="363"/>
      <c r="K197" s="363"/>
      <c r="L197" s="363"/>
      <c r="M197" s="363"/>
      <c r="N197" s="363"/>
      <c r="O197" s="40"/>
      <c r="P197" s="558"/>
      <c r="Q197" s="40"/>
      <c r="R197" s="39"/>
      <c r="S197" s="39"/>
      <c r="T197" s="39"/>
      <c r="U197" s="39"/>
    </row>
    <row r="198" spans="1:48" ht="33.75" customHeight="1">
      <c r="B198" s="48" t="str">
        <f>IF(Contents!$B$2=2,"Diversity among top managers","Многообразие топ-менеджеров")</f>
        <v>Многообразие топ-менеджеров</v>
      </c>
      <c r="C198" s="49"/>
      <c r="D198" s="51"/>
      <c r="E198" s="51"/>
      <c r="F198" s="51"/>
      <c r="G198" s="51"/>
      <c r="H198" s="51"/>
      <c r="I198" s="51"/>
      <c r="J198" s="51"/>
      <c r="K198" s="51"/>
      <c r="L198" s="51"/>
      <c r="M198" s="51"/>
      <c r="N198" s="51"/>
      <c r="O198" s="164"/>
      <c r="P198" s="558"/>
      <c r="Q198" s="164"/>
      <c r="R198" s="39"/>
      <c r="S198" s="39"/>
      <c r="T198" s="39"/>
      <c r="U198" s="39"/>
      <c r="Y198" s="595"/>
    </row>
    <row r="199" spans="1:48" ht="22.5" customHeight="1">
      <c r="B199" s="364" t="str">
        <f>IF(Contents!$B$2=2,"by gender","по полу")</f>
        <v>по полу</v>
      </c>
      <c r="C199" s="77"/>
      <c r="D199" s="111"/>
      <c r="E199" s="111"/>
      <c r="F199" s="111"/>
      <c r="G199" s="111"/>
      <c r="H199" s="111"/>
      <c r="I199" s="85"/>
      <c r="J199" s="111"/>
      <c r="K199" s="111"/>
      <c r="L199" s="111"/>
      <c r="M199" s="111"/>
      <c r="N199" s="111"/>
      <c r="O199" s="37"/>
      <c r="P199" s="558"/>
      <c r="Q199" s="37"/>
      <c r="R199" s="39" t="s">
        <v>125</v>
      </c>
      <c r="S199" s="39"/>
      <c r="T199" s="39" t="s">
        <v>123</v>
      </c>
      <c r="U199" s="39"/>
      <c r="Y199" s="595"/>
    </row>
    <row r="200" spans="1:48" ht="22.5" customHeight="1">
      <c r="B200" s="93" t="str">
        <f>IF(Contents!$B$2=2,"Male","Мужчины")</f>
        <v>Мужчины</v>
      </c>
      <c r="C200" s="53" t="s">
        <v>0</v>
      </c>
      <c r="D200" s="46" t="s">
        <v>185</v>
      </c>
      <c r="E200" s="46" t="s">
        <v>185</v>
      </c>
      <c r="F200" s="46" t="s">
        <v>185</v>
      </c>
      <c r="G200" s="46" t="s">
        <v>185</v>
      </c>
      <c r="H200" s="46" t="s">
        <v>185</v>
      </c>
      <c r="I200" s="38">
        <v>82</v>
      </c>
      <c r="J200" s="38">
        <v>80</v>
      </c>
      <c r="K200" s="38">
        <v>80</v>
      </c>
      <c r="L200" s="38">
        <v>80</v>
      </c>
      <c r="M200" s="38">
        <v>80</v>
      </c>
      <c r="N200" s="89">
        <v>79</v>
      </c>
      <c r="O200" s="879"/>
      <c r="P200" s="558" t="str">
        <f>IF(Contents!$B$2=2,"Yes","Да")</f>
        <v>Да</v>
      </c>
      <c r="Q200" s="38"/>
      <c r="R200" s="39"/>
      <c r="S200" s="39"/>
      <c r="T200" s="39"/>
      <c r="U200" s="39"/>
      <c r="W200" s="933">
        <v>1</v>
      </c>
      <c r="Y200" s="595"/>
    </row>
    <row r="201" spans="1:48" ht="22.5" customHeight="1">
      <c r="B201" s="93" t="str">
        <f>IF(Contents!$B$2=2,"Female","Женщины")</f>
        <v>Женщины</v>
      </c>
      <c r="C201" s="53" t="s">
        <v>0</v>
      </c>
      <c r="D201" s="46" t="s">
        <v>185</v>
      </c>
      <c r="E201" s="46" t="s">
        <v>185</v>
      </c>
      <c r="F201" s="46" t="s">
        <v>185</v>
      </c>
      <c r="G201" s="46" t="s">
        <v>185</v>
      </c>
      <c r="H201" s="46" t="s">
        <v>185</v>
      </c>
      <c r="I201" s="38">
        <v>18</v>
      </c>
      <c r="J201" s="38">
        <v>20</v>
      </c>
      <c r="K201" s="38">
        <v>20</v>
      </c>
      <c r="L201" s="38">
        <v>20</v>
      </c>
      <c r="M201" s="38">
        <v>20</v>
      </c>
      <c r="N201" s="89">
        <v>21</v>
      </c>
      <c r="O201" s="879"/>
      <c r="P201" s="558" t="str">
        <f>IF(Contents!$B$2=2,"Yes","Да")</f>
        <v>Да</v>
      </c>
      <c r="Q201" s="38"/>
      <c r="R201" s="39"/>
      <c r="S201" s="39"/>
      <c r="T201" s="39"/>
      <c r="U201" s="39" t="str">
        <f>IF(Contents!$B$2=2,"PBCS 49","СОКБ 49")</f>
        <v>СОКБ 49</v>
      </c>
      <c r="W201" s="933">
        <v>1</v>
      </c>
      <c r="Y201" s="595"/>
    </row>
    <row r="202" spans="1:48" ht="22.5" customHeight="1">
      <c r="B202" s="285" t="str">
        <f>IF(Contents!$B$2=2,"Percentage of women on the Board of Directors","Доля женщин в Совете директоров")</f>
        <v>Доля женщин в Совете директоров</v>
      </c>
      <c r="C202" s="53" t="s">
        <v>0</v>
      </c>
      <c r="D202" s="46">
        <v>0</v>
      </c>
      <c r="E202" s="46">
        <v>0</v>
      </c>
      <c r="F202" s="46">
        <v>0</v>
      </c>
      <c r="G202" s="46">
        <v>0</v>
      </c>
      <c r="H202" s="46">
        <v>0</v>
      </c>
      <c r="I202" s="38">
        <v>11</v>
      </c>
      <c r="J202" s="38">
        <v>11</v>
      </c>
      <c r="K202" s="38">
        <v>22</v>
      </c>
      <c r="L202" s="38">
        <v>11</v>
      </c>
      <c r="M202" s="38">
        <v>11</v>
      </c>
      <c r="N202" s="89">
        <v>11</v>
      </c>
      <c r="O202" s="879"/>
      <c r="P202" s="558" t="str">
        <f>IF(Contents!$B$2=2,"Yes","Да")</f>
        <v>Да</v>
      </c>
      <c r="Q202" s="38"/>
      <c r="R202" s="39" t="s">
        <v>125</v>
      </c>
      <c r="S202" s="39"/>
      <c r="T202" s="39"/>
      <c r="U202" s="39" t="str">
        <f>IF(Contents!$B$2=2,"PBCS 49","СОКБ 49")</f>
        <v>СОКБ 49</v>
      </c>
      <c r="W202" s="933">
        <v>1</v>
      </c>
      <c r="Y202" s="595"/>
    </row>
    <row r="203" spans="1:48" ht="22.5" customHeight="1">
      <c r="B203" s="23" t="str">
        <f>IF(Contents!$B$2=2,"by age","по возрасту")</f>
        <v>по возрасту</v>
      </c>
      <c r="C203" s="77"/>
      <c r="D203" s="111"/>
      <c r="E203" s="111"/>
      <c r="F203" s="111"/>
      <c r="G203" s="111"/>
      <c r="H203" s="111"/>
      <c r="I203" s="85"/>
      <c r="J203" s="111"/>
      <c r="K203" s="111"/>
      <c r="L203" s="111"/>
      <c r="M203" s="111"/>
      <c r="N203" s="111"/>
      <c r="O203" s="37"/>
      <c r="P203" s="558"/>
      <c r="Q203" s="38"/>
      <c r="R203" s="39" t="s">
        <v>125</v>
      </c>
      <c r="S203" s="39"/>
      <c r="T203" s="39" t="s">
        <v>123</v>
      </c>
      <c r="U203" s="39"/>
      <c r="Y203" s="595"/>
    </row>
    <row r="204" spans="1:48" ht="22.5" customHeight="1">
      <c r="B204" s="78" t="str">
        <f>IF(Contents!$B$2=2,"Under 30","До 30 лет")</f>
        <v>До 30 лет</v>
      </c>
      <c r="C204" s="53" t="s">
        <v>0</v>
      </c>
      <c r="D204" s="46">
        <v>0</v>
      </c>
      <c r="E204" s="46">
        <v>0</v>
      </c>
      <c r="F204" s="46">
        <v>0.54054054054054057</v>
      </c>
      <c r="G204" s="46">
        <v>0.45045045045045046</v>
      </c>
      <c r="H204" s="46">
        <v>0</v>
      </c>
      <c r="I204" s="46">
        <v>0</v>
      </c>
      <c r="J204" s="38">
        <v>0</v>
      </c>
      <c r="K204" s="38">
        <v>0</v>
      </c>
      <c r="L204" s="38">
        <v>0</v>
      </c>
      <c r="M204" s="38">
        <v>0.4</v>
      </c>
      <c r="N204" s="89">
        <v>0</v>
      </c>
      <c r="O204" s="879"/>
      <c r="P204" s="558" t="str">
        <f>IF(Contents!$B$2=2,"Yes","Да")</f>
        <v>Да</v>
      </c>
      <c r="Q204" s="38"/>
      <c r="R204" s="39"/>
      <c r="S204" s="39"/>
      <c r="T204" s="39"/>
      <c r="U204" s="39"/>
      <c r="W204" s="933">
        <v>1</v>
      </c>
    </row>
    <row r="205" spans="1:48" s="375" customFormat="1" ht="22.5" customHeight="1">
      <c r="A205" s="14"/>
      <c r="B205" s="78" t="str">
        <f>IF(Contents!$B$2=2,"30 to 50","30-50 лет")</f>
        <v>30-50 лет</v>
      </c>
      <c r="C205" s="53" t="s">
        <v>0</v>
      </c>
      <c r="D205" s="46">
        <v>77</v>
      </c>
      <c r="E205" s="46">
        <v>74</v>
      </c>
      <c r="F205" s="46">
        <v>75</v>
      </c>
      <c r="G205" s="46">
        <v>76</v>
      </c>
      <c r="H205" s="46">
        <v>77</v>
      </c>
      <c r="I205" s="38">
        <v>76</v>
      </c>
      <c r="J205" s="38">
        <v>74</v>
      </c>
      <c r="K205" s="38">
        <v>73</v>
      </c>
      <c r="L205" s="38">
        <v>69</v>
      </c>
      <c r="M205" s="38">
        <v>66</v>
      </c>
      <c r="N205" s="89">
        <v>65</v>
      </c>
      <c r="O205" s="879"/>
      <c r="P205" s="558" t="str">
        <f>IF(Contents!$B$2=2,"Yes","Да")</f>
        <v>Да</v>
      </c>
      <c r="Q205" s="38"/>
      <c r="R205" s="39"/>
      <c r="S205" s="39"/>
      <c r="T205" s="39"/>
      <c r="U205" s="39"/>
      <c r="V205" s="589"/>
      <c r="W205" s="933">
        <v>1</v>
      </c>
      <c r="X205" s="589"/>
      <c r="Y205" s="589"/>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row>
    <row r="206" spans="1:48" s="375" customFormat="1" ht="22.5" customHeight="1">
      <c r="A206" s="14"/>
      <c r="B206" s="78" t="str">
        <f>IF(Contents!$B$2=2,"Over 50","Старше 50 лет")</f>
        <v>Старше 50 лет</v>
      </c>
      <c r="C206" s="53" t="s">
        <v>0</v>
      </c>
      <c r="D206" s="46">
        <v>23</v>
      </c>
      <c r="E206" s="46">
        <v>26</v>
      </c>
      <c r="F206" s="46">
        <v>24</v>
      </c>
      <c r="G206" s="46">
        <v>24</v>
      </c>
      <c r="H206" s="46">
        <v>23</v>
      </c>
      <c r="I206" s="38">
        <v>24</v>
      </c>
      <c r="J206" s="38">
        <v>26</v>
      </c>
      <c r="K206" s="38">
        <v>27</v>
      </c>
      <c r="L206" s="38">
        <v>31</v>
      </c>
      <c r="M206" s="38">
        <v>33</v>
      </c>
      <c r="N206" s="89">
        <v>35</v>
      </c>
      <c r="O206" s="879"/>
      <c r="P206" s="558" t="str">
        <f>IF(Contents!$B$2=2,"Yes","Да")</f>
        <v>Да</v>
      </c>
      <c r="Q206" s="38"/>
      <c r="R206" s="39"/>
      <c r="S206" s="39"/>
      <c r="T206" s="39"/>
      <c r="U206" s="39"/>
      <c r="V206" s="589"/>
      <c r="W206" s="933">
        <v>1</v>
      </c>
      <c r="X206" s="589"/>
      <c r="Y206" s="589"/>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row>
    <row r="207" spans="1:48">
      <c r="B207" s="57"/>
      <c r="C207" s="53"/>
      <c r="D207" s="46"/>
      <c r="E207" s="46"/>
      <c r="F207" s="46"/>
      <c r="G207" s="46"/>
      <c r="H207" s="46"/>
      <c r="I207" s="38"/>
      <c r="J207" s="38"/>
      <c r="K207" s="38"/>
      <c r="L207" s="38"/>
      <c r="M207" s="38"/>
      <c r="N207" s="38"/>
      <c r="O207" s="38"/>
      <c r="P207" s="558"/>
      <c r="Q207" s="38"/>
      <c r="R207" s="39"/>
      <c r="S207" s="39"/>
      <c r="T207" s="39"/>
      <c r="U207" s="39"/>
      <c r="Y207" s="595"/>
    </row>
    <row r="208" spans="1:48" ht="34.5" customHeight="1">
      <c r="B208" s="371" t="str">
        <f>IF(Contents!$B$2=2," Employees hired from local communities","Работники, нанятые из представителей местного населения")</f>
        <v>Работники, нанятые из представителей местного населения</v>
      </c>
      <c r="C208" s="49"/>
      <c r="D208" s="372"/>
      <c r="E208" s="372"/>
      <c r="F208" s="372"/>
      <c r="G208" s="372"/>
      <c r="H208" s="372"/>
      <c r="I208" s="379"/>
      <c r="J208" s="379"/>
      <c r="K208" s="379"/>
      <c r="L208" s="379"/>
      <c r="M208" s="379"/>
      <c r="N208" s="379"/>
      <c r="O208" s="29"/>
      <c r="P208" s="187"/>
      <c r="Q208" s="29"/>
      <c r="R208" s="39"/>
      <c r="S208" s="39"/>
      <c r="T208" s="39"/>
      <c r="U208" s="39"/>
      <c r="Y208" s="595"/>
    </row>
    <row r="209" spans="2:25" ht="36">
      <c r="B209" s="57" t="str">
        <f>IF(Contents!$B$2=2," Number of employees hired from local communities","Количество работников, нанятых из представителей местного населения")</f>
        <v>Количество работников, нанятых из представителей местного населения</v>
      </c>
      <c r="C209" s="53" t="str">
        <f>IF(Contents!$B$2=2,"people"," человек")</f>
        <v xml:space="preserve"> человек</v>
      </c>
      <c r="D209" s="81" t="s">
        <v>185</v>
      </c>
      <c r="E209" s="81" t="s">
        <v>185</v>
      </c>
      <c r="F209" s="81" t="s">
        <v>185</v>
      </c>
      <c r="G209" s="81" t="s">
        <v>185</v>
      </c>
      <c r="H209" s="81" t="s">
        <v>185</v>
      </c>
      <c r="I209" s="81" t="s">
        <v>185</v>
      </c>
      <c r="J209" s="82" t="s">
        <v>185</v>
      </c>
      <c r="K209" s="82" t="s">
        <v>185</v>
      </c>
      <c r="L209" s="38">
        <v>6450</v>
      </c>
      <c r="M209" s="38">
        <v>9647</v>
      </c>
      <c r="N209" s="89">
        <v>10184</v>
      </c>
      <c r="O209" s="38"/>
      <c r="P209" s="187"/>
      <c r="Q209" s="38"/>
      <c r="R209" s="39"/>
      <c r="S209" s="39"/>
      <c r="T209" s="39"/>
      <c r="U209" s="39"/>
      <c r="W209" s="933">
        <v>1</v>
      </c>
      <c r="X209" s="558"/>
      <c r="Y209" s="595"/>
    </row>
    <row r="210" spans="2:25" ht="22.5" customHeight="1">
      <c r="B210" s="380" t="str">
        <f>IF(Contents!$B$2=2," Percentage of employees hired from local communities","Доля работников, нанятых из представителей местного населения")</f>
        <v>Доля работников, нанятых из представителей местного населения</v>
      </c>
      <c r="C210" s="53" t="s">
        <v>0</v>
      </c>
      <c r="D210" s="81" t="s">
        <v>185</v>
      </c>
      <c r="E210" s="81" t="s">
        <v>185</v>
      </c>
      <c r="F210" s="81" t="s">
        <v>185</v>
      </c>
      <c r="G210" s="81" t="s">
        <v>185</v>
      </c>
      <c r="H210" s="81" t="s">
        <v>185</v>
      </c>
      <c r="I210" s="81" t="s">
        <v>185</v>
      </c>
      <c r="J210" s="82" t="s">
        <v>185</v>
      </c>
      <c r="K210" s="82" t="s">
        <v>185</v>
      </c>
      <c r="L210" s="38">
        <v>31</v>
      </c>
      <c r="M210" s="38">
        <v>44</v>
      </c>
      <c r="N210" s="89">
        <v>43</v>
      </c>
      <c r="O210" s="38"/>
      <c r="P210" s="187"/>
      <c r="Q210" s="38"/>
      <c r="R210" s="39"/>
      <c r="S210" s="39"/>
      <c r="T210" s="39"/>
      <c r="U210" s="39"/>
      <c r="W210" s="933">
        <v>1</v>
      </c>
    </row>
    <row r="211" spans="2:25" ht="21.6" customHeight="1">
      <c r="B211" s="78" t="str">
        <f>IF(Contents!$B$2=2,"Chelyabinsk Region","Челябинская область")</f>
        <v>Челябинская область</v>
      </c>
      <c r="C211" s="53" t="s">
        <v>0</v>
      </c>
      <c r="D211" s="81" t="s">
        <v>185</v>
      </c>
      <c r="E211" s="81" t="s">
        <v>185</v>
      </c>
      <c r="F211" s="81" t="s">
        <v>185</v>
      </c>
      <c r="G211" s="81" t="s">
        <v>185</v>
      </c>
      <c r="H211" s="81" t="s">
        <v>185</v>
      </c>
      <c r="I211" s="81" t="s">
        <v>185</v>
      </c>
      <c r="J211" s="82" t="s">
        <v>185</v>
      </c>
      <c r="K211" s="82" t="s">
        <v>185</v>
      </c>
      <c r="L211" s="38">
        <v>97</v>
      </c>
      <c r="M211" s="38">
        <v>97</v>
      </c>
      <c r="N211" s="89">
        <v>97</v>
      </c>
      <c r="O211" s="38"/>
      <c r="P211" s="187"/>
      <c r="Q211" s="38"/>
      <c r="R211" s="39"/>
      <c r="S211" s="39"/>
      <c r="T211" s="39"/>
      <c r="U211" s="39"/>
      <c r="W211" s="933">
        <v>1</v>
      </c>
    </row>
    <row r="212" spans="2:25" ht="21.6" customHeight="1">
      <c r="B212" s="78" t="str">
        <f>IF(Contents!$B$2=2,"Moscow and Moscow Region","Москва и Московская область")</f>
        <v>Москва и Московская область</v>
      </c>
      <c r="C212" s="53" t="s">
        <v>0</v>
      </c>
      <c r="D212" s="81" t="s">
        <v>185</v>
      </c>
      <c r="E212" s="81" t="s">
        <v>185</v>
      </c>
      <c r="F212" s="81" t="s">
        <v>185</v>
      </c>
      <c r="G212" s="81" t="s">
        <v>185</v>
      </c>
      <c r="H212" s="81" t="s">
        <v>185</v>
      </c>
      <c r="I212" s="81" t="s">
        <v>185</v>
      </c>
      <c r="J212" s="82" t="s">
        <v>185</v>
      </c>
      <c r="K212" s="82" t="s">
        <v>185</v>
      </c>
      <c r="L212" s="38">
        <v>69</v>
      </c>
      <c r="M212" s="38">
        <v>72</v>
      </c>
      <c r="N212" s="89">
        <v>71</v>
      </c>
      <c r="O212" s="38"/>
      <c r="P212" s="187"/>
      <c r="Q212" s="38"/>
      <c r="R212" s="39"/>
      <c r="S212" s="39"/>
      <c r="T212" s="39"/>
      <c r="U212" s="39"/>
      <c r="W212" s="933">
        <v>1</v>
      </c>
    </row>
    <row r="213" spans="2:25" ht="21.6" customHeight="1">
      <c r="B213" s="78" t="str">
        <f>IF(Contents!$B$2=2,"Yamal-Nenets Autonomous Region","Ямало-Ненецкий автономный округ")</f>
        <v>Ямало-Ненецкий автономный округ</v>
      </c>
      <c r="C213" s="53" t="s">
        <v>0</v>
      </c>
      <c r="D213" s="81" t="s">
        <v>185</v>
      </c>
      <c r="E213" s="81" t="s">
        <v>185</v>
      </c>
      <c r="F213" s="81" t="s">
        <v>185</v>
      </c>
      <c r="G213" s="81" t="s">
        <v>185</v>
      </c>
      <c r="H213" s="81" t="s">
        <v>185</v>
      </c>
      <c r="I213" s="81" t="s">
        <v>185</v>
      </c>
      <c r="J213" s="82" t="s">
        <v>185</v>
      </c>
      <c r="K213" s="82" t="s">
        <v>185</v>
      </c>
      <c r="L213" s="38">
        <v>27</v>
      </c>
      <c r="M213" s="38">
        <v>25</v>
      </c>
      <c r="N213" s="89">
        <v>24</v>
      </c>
      <c r="O213" s="38"/>
      <c r="P213" s="187"/>
      <c r="Q213" s="38"/>
      <c r="R213" s="39"/>
      <c r="S213" s="39"/>
      <c r="T213" s="39"/>
      <c r="U213" s="39"/>
      <c r="W213" s="933">
        <v>1</v>
      </c>
    </row>
    <row r="214" spans="2:25" ht="21.6" customHeight="1">
      <c r="B214" s="78" t="str">
        <f>IF(Contents!$B$2=2,"St. Petersburg and Leningrad Region","Санкт-Петербург и Ленинградская область")</f>
        <v>Санкт-Петербург и Ленинградская область</v>
      </c>
      <c r="C214" s="53" t="s">
        <v>0</v>
      </c>
      <c r="D214" s="81" t="s">
        <v>185</v>
      </c>
      <c r="E214" s="81" t="s">
        <v>185</v>
      </c>
      <c r="F214" s="81" t="s">
        <v>185</v>
      </c>
      <c r="G214" s="81" t="s">
        <v>185</v>
      </c>
      <c r="H214" s="81" t="s">
        <v>185</v>
      </c>
      <c r="I214" s="81" t="s">
        <v>185</v>
      </c>
      <c r="J214" s="82" t="s">
        <v>185</v>
      </c>
      <c r="K214" s="82" t="s">
        <v>185</v>
      </c>
      <c r="L214" s="38">
        <v>53</v>
      </c>
      <c r="M214" s="38">
        <v>51</v>
      </c>
      <c r="N214" s="89">
        <v>64</v>
      </c>
      <c r="O214" s="38"/>
      <c r="P214" s="187"/>
      <c r="Q214" s="38"/>
      <c r="R214" s="39"/>
      <c r="S214" s="39"/>
      <c r="T214" s="39"/>
      <c r="U214" s="39"/>
      <c r="W214" s="933">
        <v>1</v>
      </c>
    </row>
    <row r="215" spans="2:25" ht="35.1" customHeight="1">
      <c r="B215" s="57" t="str">
        <f>IF(Contents!$B$2=2,"Number of top managers hired from local communities","Количество топ-менеджеров, нанятых из представителей местного населения")</f>
        <v>Количество топ-менеджеров, нанятых из представителей местного населения</v>
      </c>
      <c r="C215" s="53" t="str">
        <f>IF(Contents!$B$2=2,"people"," человек")</f>
        <v xml:space="preserve"> человек</v>
      </c>
      <c r="D215" s="81" t="s">
        <v>185</v>
      </c>
      <c r="E215" s="81" t="s">
        <v>185</v>
      </c>
      <c r="F215" s="81" t="s">
        <v>185</v>
      </c>
      <c r="G215" s="81" t="s">
        <v>185</v>
      </c>
      <c r="H215" s="81" t="s">
        <v>185</v>
      </c>
      <c r="I215" s="81" t="s">
        <v>185</v>
      </c>
      <c r="J215" s="82" t="s">
        <v>185</v>
      </c>
      <c r="K215" s="82" t="s">
        <v>185</v>
      </c>
      <c r="L215" s="38">
        <v>60</v>
      </c>
      <c r="M215" s="38">
        <v>170</v>
      </c>
      <c r="N215" s="89">
        <v>180</v>
      </c>
      <c r="O215" s="38"/>
      <c r="P215" s="558" t="str">
        <f>IF(Contents!$B$2=2,"Yes","Да")</f>
        <v>Да</v>
      </c>
      <c r="Q215" s="38"/>
      <c r="R215" s="187" t="s">
        <v>126</v>
      </c>
      <c r="S215" s="39"/>
      <c r="T215" s="187" t="s">
        <v>127</v>
      </c>
      <c r="U215" s="39"/>
      <c r="W215" s="933">
        <v>1</v>
      </c>
      <c r="Y215" s="595"/>
    </row>
    <row r="216" spans="2:25" ht="22.5" customHeight="1">
      <c r="B216" s="380" t="str">
        <f>IF(Contents!$B$2=2,"Percentage of top managers hired from local communities","Доля топ-менеджеров, нанятых из представителей местного населения")</f>
        <v>Доля топ-менеджеров, нанятых из представителей местного населения</v>
      </c>
      <c r="C216" s="53" t="s">
        <v>0</v>
      </c>
      <c r="D216" s="81" t="s">
        <v>185</v>
      </c>
      <c r="E216" s="81" t="s">
        <v>185</v>
      </c>
      <c r="F216" s="81" t="s">
        <v>185</v>
      </c>
      <c r="G216" s="81" t="s">
        <v>185</v>
      </c>
      <c r="H216" s="81" t="s">
        <v>185</v>
      </c>
      <c r="I216" s="81" t="s">
        <v>185</v>
      </c>
      <c r="J216" s="82" t="s">
        <v>185</v>
      </c>
      <c r="K216" s="82" t="s">
        <v>185</v>
      </c>
      <c r="L216" s="38">
        <v>63.157894736842103</v>
      </c>
      <c r="M216" s="38">
        <v>71</v>
      </c>
      <c r="N216" s="89">
        <v>74</v>
      </c>
      <c r="O216" s="38"/>
      <c r="P216" s="558" t="str">
        <f>IF(Contents!$B$2=2,"Yes","Да")</f>
        <v>Да</v>
      </c>
      <c r="Q216" s="38"/>
      <c r="R216" s="187"/>
      <c r="S216" s="39"/>
      <c r="T216" s="39"/>
      <c r="U216" s="39"/>
      <c r="W216" s="933">
        <v>1</v>
      </c>
    </row>
    <row r="217" spans="2:25" ht="23.45" customHeight="1">
      <c r="B217" s="78" t="str">
        <f>IF(Contents!$B$2=2,"Chelyabinsk Region","Челябинская область")</f>
        <v>Челябинская область</v>
      </c>
      <c r="C217" s="53" t="s">
        <v>0</v>
      </c>
      <c r="D217" s="81" t="s">
        <v>185</v>
      </c>
      <c r="E217" s="81" t="s">
        <v>185</v>
      </c>
      <c r="F217" s="81" t="s">
        <v>185</v>
      </c>
      <c r="G217" s="81" t="s">
        <v>185</v>
      </c>
      <c r="H217" s="81" t="s">
        <v>185</v>
      </c>
      <c r="I217" s="81" t="s">
        <v>185</v>
      </c>
      <c r="J217" s="82" t="s">
        <v>185</v>
      </c>
      <c r="K217" s="82" t="s">
        <v>185</v>
      </c>
      <c r="L217" s="38">
        <v>91</v>
      </c>
      <c r="M217" s="38">
        <v>89</v>
      </c>
      <c r="N217" s="89">
        <v>90</v>
      </c>
      <c r="O217" s="38"/>
      <c r="P217" s="558" t="str">
        <f>IF(Contents!$B$2=2,"Yes","Да")</f>
        <v>Да</v>
      </c>
      <c r="Q217" s="38"/>
      <c r="R217" s="39"/>
      <c r="S217" s="39"/>
      <c r="T217" s="39"/>
      <c r="U217" s="39"/>
      <c r="W217" s="933">
        <v>1</v>
      </c>
    </row>
    <row r="218" spans="2:25" ht="23.45" customHeight="1">
      <c r="B218" s="78" t="str">
        <f>IF(Contents!$B$2=2,"Moscow and Moscow Region","Москва и Московская область")</f>
        <v>Москва и Московская область</v>
      </c>
      <c r="C218" s="53" t="s">
        <v>0</v>
      </c>
      <c r="D218" s="81" t="s">
        <v>185</v>
      </c>
      <c r="E218" s="81" t="s">
        <v>185</v>
      </c>
      <c r="F218" s="81" t="s">
        <v>185</v>
      </c>
      <c r="G218" s="81" t="s">
        <v>185</v>
      </c>
      <c r="H218" s="81" t="s">
        <v>185</v>
      </c>
      <c r="I218" s="81" t="s">
        <v>185</v>
      </c>
      <c r="J218" s="82" t="s">
        <v>185</v>
      </c>
      <c r="K218" s="82" t="s">
        <v>185</v>
      </c>
      <c r="L218" s="38">
        <v>82</v>
      </c>
      <c r="M218" s="38">
        <v>78</v>
      </c>
      <c r="N218" s="89">
        <v>82</v>
      </c>
      <c r="O218" s="38"/>
      <c r="P218" s="558" t="str">
        <f>IF(Contents!$B$2=2,"Yes","Да")</f>
        <v>Да</v>
      </c>
      <c r="Q218" s="38"/>
      <c r="R218" s="39"/>
      <c r="S218" s="39"/>
      <c r="T218" s="39"/>
      <c r="U218" s="39"/>
      <c r="W218" s="933">
        <v>1</v>
      </c>
    </row>
    <row r="219" spans="2:25" ht="23.45" customHeight="1">
      <c r="B219" s="78" t="str">
        <f>IF(Contents!$B$2=2,"Yamal-Nenets Autonomous Region","Ямало-Ненецкий автономный округ")</f>
        <v>Ямало-Ненецкий автономный округ</v>
      </c>
      <c r="C219" s="53" t="s">
        <v>0</v>
      </c>
      <c r="D219" s="81" t="s">
        <v>185</v>
      </c>
      <c r="E219" s="81" t="s">
        <v>185</v>
      </c>
      <c r="F219" s="81" t="s">
        <v>185</v>
      </c>
      <c r="G219" s="81" t="s">
        <v>185</v>
      </c>
      <c r="H219" s="81" t="s">
        <v>185</v>
      </c>
      <c r="I219" s="81" t="s">
        <v>185</v>
      </c>
      <c r="J219" s="82" t="s">
        <v>185</v>
      </c>
      <c r="K219" s="82" t="s">
        <v>185</v>
      </c>
      <c r="L219" s="38">
        <v>68</v>
      </c>
      <c r="M219" s="38">
        <v>64</v>
      </c>
      <c r="N219" s="89">
        <v>74</v>
      </c>
      <c r="O219" s="38"/>
      <c r="P219" s="558" t="str">
        <f>IF(Contents!$B$2=2,"Yes","Да")</f>
        <v>Да</v>
      </c>
      <c r="Q219" s="38"/>
      <c r="R219" s="39"/>
      <c r="S219" s="39"/>
      <c r="T219" s="39"/>
      <c r="U219" s="39"/>
      <c r="W219" s="933">
        <v>1</v>
      </c>
    </row>
    <row r="220" spans="2:25" ht="23.45" customHeight="1">
      <c r="B220" s="78" t="str">
        <f>IF(Contents!$B$2=2,"St. Petersburg and Leningrad Region","Санкт-Петербург и Ленинградская область")</f>
        <v>Санкт-Петербург и Ленинградская область</v>
      </c>
      <c r="C220" s="53" t="s">
        <v>0</v>
      </c>
      <c r="D220" s="81" t="s">
        <v>185</v>
      </c>
      <c r="E220" s="81" t="s">
        <v>185</v>
      </c>
      <c r="F220" s="81" t="s">
        <v>185</v>
      </c>
      <c r="G220" s="81" t="s">
        <v>185</v>
      </c>
      <c r="H220" s="81" t="s">
        <v>185</v>
      </c>
      <c r="I220" s="81" t="s">
        <v>185</v>
      </c>
      <c r="J220" s="82" t="s">
        <v>185</v>
      </c>
      <c r="K220" s="82" t="s">
        <v>185</v>
      </c>
      <c r="L220" s="38">
        <v>44</v>
      </c>
      <c r="M220" s="38">
        <v>47</v>
      </c>
      <c r="N220" s="89">
        <v>81</v>
      </c>
      <c r="O220" s="38"/>
      <c r="P220" s="558" t="str">
        <f>IF(Contents!$B$2=2,"Yes","Да")</f>
        <v>Да</v>
      </c>
      <c r="Q220" s="38"/>
      <c r="R220" s="39"/>
      <c r="S220" s="39"/>
      <c r="T220" s="39"/>
      <c r="U220" s="39"/>
      <c r="W220" s="933">
        <v>1</v>
      </c>
    </row>
    <row r="221" spans="2:25">
      <c r="B221" s="285"/>
      <c r="C221" s="53"/>
      <c r="D221" s="46"/>
      <c r="E221" s="46"/>
      <c r="F221" s="46"/>
      <c r="G221" s="46"/>
      <c r="H221" s="46"/>
      <c r="I221" s="46"/>
      <c r="J221" s="38"/>
      <c r="K221" s="38"/>
      <c r="L221" s="38"/>
      <c r="M221" s="38"/>
      <c r="N221" s="108"/>
      <c r="O221" s="38"/>
      <c r="P221" s="558"/>
      <c r="Q221" s="38"/>
      <c r="R221" s="39"/>
      <c r="S221" s="39"/>
      <c r="T221" s="39"/>
      <c r="U221" s="39"/>
    </row>
    <row r="222" spans="2:25">
      <c r="B222" s="25" t="str">
        <f>IF(Contents!$B$2=2,"Notes:","Примечания: ")</f>
        <v xml:space="preserve">Примечания: </v>
      </c>
      <c r="C222" s="61"/>
      <c r="D222" s="108"/>
      <c r="E222" s="108"/>
      <c r="F222" s="108"/>
      <c r="G222" s="108"/>
      <c r="H222" s="108"/>
      <c r="I222" s="108"/>
      <c r="J222" s="108"/>
      <c r="K222" s="108"/>
      <c r="L222" s="108"/>
      <c r="M222" s="108"/>
      <c r="N222" s="109"/>
      <c r="O222" s="38"/>
      <c r="P222" s="558"/>
      <c r="Q222" s="38"/>
      <c r="R222" s="39"/>
      <c r="S222" s="39"/>
      <c r="T222" s="39"/>
      <c r="U222" s="39"/>
    </row>
    <row r="223" spans="2:25">
      <c r="B223" s="26" t="str">
        <f>IF(Contents!$B$2=2,"Local population means residents of a specific territory irrespective of ethnic composition and cultural characteristics.","Местное население – население определенной территории без учета его этнического состава и культурных особенностей.")</f>
        <v>Местное население – население определенной территории без учета его этнического состава и культурных особенностей.</v>
      </c>
      <c r="C223" s="294"/>
      <c r="D223" s="381"/>
      <c r="E223" s="381"/>
      <c r="F223" s="381"/>
      <c r="G223" s="381"/>
      <c r="H223" s="381"/>
      <c r="I223" s="381"/>
      <c r="J223" s="381"/>
      <c r="K223" s="381"/>
      <c r="L223" s="381"/>
      <c r="M223" s="381"/>
      <c r="N223" s="381"/>
      <c r="O223" s="29"/>
      <c r="P223" s="558"/>
      <c r="Q223" s="29"/>
      <c r="R223" s="39"/>
      <c r="S223" s="39"/>
      <c r="T223" s="39"/>
      <c r="U223" s="39"/>
    </row>
    <row r="224" spans="2:25">
      <c r="B224" s="26" t="str">
        <f>IF(Contents!$B$2=2,"Top managers are general directors, deputy general directors of subsidiaries and associates of the NOVATEK Group, members of the Management Committee, and directors of departments of PJSC NOVATEK.","Топ-менеджеры – генеральные директора, заместители генеральных директоров дочерних и зависимых обществ Группы компаний ПАО «НОВАТЭК», члены Правления и директора департаментов ПАО «НОВАТЭК».")</f>
        <v>Топ-менеджеры – генеральные директора, заместители генеральных директоров дочерних и зависимых обществ Группы компаний ПАО «НОВАТЭК», члены Правления и директора департаментов ПАО «НОВАТЭК».</v>
      </c>
      <c r="C224" s="294"/>
      <c r="D224" s="381"/>
      <c r="E224" s="381"/>
      <c r="F224" s="381"/>
      <c r="G224" s="381"/>
      <c r="H224" s="381"/>
      <c r="I224" s="381"/>
      <c r="J224" s="381"/>
      <c r="K224" s="381"/>
      <c r="L224" s="381"/>
      <c r="M224" s="381"/>
      <c r="N224" s="381"/>
      <c r="O224" s="29"/>
      <c r="P224" s="558"/>
      <c r="Q224" s="29"/>
      <c r="R224" s="39"/>
      <c r="S224" s="39"/>
      <c r="T224" s="39"/>
      <c r="U224" s="39"/>
    </row>
    <row r="225" spans="1:25">
      <c r="B225" s="57"/>
      <c r="C225" s="53"/>
      <c r="D225" s="46"/>
      <c r="E225" s="46"/>
      <c r="F225" s="46"/>
      <c r="G225" s="46"/>
      <c r="H225" s="46"/>
      <c r="I225" s="38"/>
      <c r="J225" s="38"/>
      <c r="K225" s="38"/>
      <c r="L225" s="38"/>
      <c r="M225" s="38"/>
      <c r="N225" s="38"/>
      <c r="O225" s="38"/>
      <c r="P225" s="558"/>
      <c r="Q225" s="38"/>
      <c r="R225" s="39"/>
      <c r="S225" s="39"/>
      <c r="T225" s="39"/>
      <c r="U225" s="39"/>
      <c r="Y225" s="595"/>
    </row>
    <row r="226" spans="1:25" ht="20.100000000000001" customHeight="1">
      <c r="B226" s="45" t="str">
        <f>IF(Contents!$B$2=2,"Staff turnover and new employees","Текучесть кадров и новые работники")</f>
        <v>Текучесть кадров и новые работники</v>
      </c>
      <c r="C226" s="105"/>
      <c r="D226" s="106"/>
      <c r="E226" s="106"/>
      <c r="F226" s="106"/>
      <c r="G226" s="106"/>
      <c r="H226" s="106"/>
      <c r="I226" s="363"/>
      <c r="J226" s="363"/>
      <c r="K226" s="363"/>
      <c r="L226" s="363"/>
      <c r="M226" s="363"/>
      <c r="N226" s="363"/>
      <c r="O226" s="40"/>
      <c r="P226" s="558"/>
      <c r="Q226" s="40"/>
      <c r="R226" s="39"/>
      <c r="S226" s="39"/>
      <c r="T226" s="39"/>
      <c r="U226" s="39"/>
    </row>
    <row r="227" spans="1:25" ht="22.5" customHeight="1">
      <c r="B227" s="371" t="str">
        <f>IF(Contents!$B$2=2,"Employee turnover rate","Коэффициент текучести кадров")</f>
        <v>Коэффициент текучести кадров</v>
      </c>
      <c r="C227" s="49" t="s">
        <v>0</v>
      </c>
      <c r="D227" s="382" t="s">
        <v>185</v>
      </c>
      <c r="E227" s="382" t="s">
        <v>185</v>
      </c>
      <c r="F227" s="382">
        <v>6</v>
      </c>
      <c r="G227" s="382">
        <v>7</v>
      </c>
      <c r="H227" s="382">
        <v>8</v>
      </c>
      <c r="I227" s="383">
        <v>6</v>
      </c>
      <c r="J227" s="383">
        <v>8</v>
      </c>
      <c r="K227" s="383">
        <v>7</v>
      </c>
      <c r="L227" s="383">
        <v>5</v>
      </c>
      <c r="M227" s="383">
        <v>5</v>
      </c>
      <c r="N227" s="379">
        <v>4</v>
      </c>
      <c r="O227" s="879"/>
      <c r="P227" s="558" t="str">
        <f>IF(Contents!$B$2=2,"Yes","Да")</f>
        <v>Да</v>
      </c>
      <c r="Q227" s="29"/>
      <c r="R227" s="39" t="s">
        <v>128</v>
      </c>
      <c r="S227" s="39"/>
      <c r="T227" s="39" t="s">
        <v>129</v>
      </c>
      <c r="U227" s="39" t="str">
        <f>IF(Contents!$B$2=2,"PBCS 34","СОКБ 34")</f>
        <v>СОКБ 34</v>
      </c>
      <c r="W227" s="933">
        <v>1</v>
      </c>
    </row>
    <row r="228" spans="1:25" ht="22.5" customHeight="1">
      <c r="B228" s="364" t="str">
        <f>IF(Contents!$B$2=2,"by gender","по полу")</f>
        <v>по полу</v>
      </c>
      <c r="C228" s="77"/>
      <c r="D228" s="384"/>
      <c r="E228" s="384"/>
      <c r="F228" s="384"/>
      <c r="G228" s="384"/>
      <c r="H228" s="384"/>
      <c r="I228" s="385"/>
      <c r="J228" s="384"/>
      <c r="K228" s="384"/>
      <c r="L228" s="384"/>
      <c r="M228" s="384"/>
      <c r="N228" s="111"/>
      <c r="O228" s="37"/>
      <c r="P228" s="558"/>
      <c r="Q228" s="29"/>
      <c r="R228" s="39" t="s">
        <v>128</v>
      </c>
      <c r="S228" s="39"/>
      <c r="T228" s="39" t="s">
        <v>129</v>
      </c>
      <c r="U228" s="39"/>
    </row>
    <row r="229" spans="1:25" ht="22.5" customHeight="1">
      <c r="B229" s="93" t="str">
        <f>IF(Contents!$B$2=2,"Male","Мужчины")</f>
        <v>Мужчины</v>
      </c>
      <c r="C229" s="53" t="s">
        <v>0</v>
      </c>
      <c r="D229" s="81" t="s">
        <v>185</v>
      </c>
      <c r="E229" s="81" t="s">
        <v>185</v>
      </c>
      <c r="F229" s="81">
        <v>6</v>
      </c>
      <c r="G229" s="81">
        <v>6</v>
      </c>
      <c r="H229" s="81">
        <v>6</v>
      </c>
      <c r="I229" s="81">
        <v>5</v>
      </c>
      <c r="J229" s="82">
        <v>7</v>
      </c>
      <c r="K229" s="82">
        <v>6</v>
      </c>
      <c r="L229" s="82">
        <v>5</v>
      </c>
      <c r="M229" s="82">
        <v>5</v>
      </c>
      <c r="N229" s="89">
        <v>4</v>
      </c>
      <c r="O229" s="879"/>
      <c r="P229" s="558" t="str">
        <f>IF(Contents!$B$2=2,"Yes","Да")</f>
        <v>Да</v>
      </c>
      <c r="Q229" s="29"/>
      <c r="R229" s="39"/>
      <c r="S229" s="39"/>
      <c r="T229" s="39"/>
      <c r="U229" s="39"/>
      <c r="W229" s="933">
        <v>1</v>
      </c>
    </row>
    <row r="230" spans="1:25" ht="22.5" customHeight="1">
      <c r="B230" s="93" t="str">
        <f>IF(Contents!$B$2=2,"Female","Женщины")</f>
        <v>Женщины</v>
      </c>
      <c r="C230" s="53" t="s">
        <v>0</v>
      </c>
      <c r="D230" s="81" t="s">
        <v>185</v>
      </c>
      <c r="E230" s="81" t="s">
        <v>185</v>
      </c>
      <c r="F230" s="81">
        <v>8</v>
      </c>
      <c r="G230" s="81">
        <v>11</v>
      </c>
      <c r="H230" s="81">
        <v>12</v>
      </c>
      <c r="I230" s="81">
        <v>9</v>
      </c>
      <c r="J230" s="82">
        <v>11</v>
      </c>
      <c r="K230" s="82">
        <v>9</v>
      </c>
      <c r="L230" s="82">
        <v>9</v>
      </c>
      <c r="M230" s="82">
        <v>8</v>
      </c>
      <c r="N230" s="89">
        <v>6</v>
      </c>
      <c r="O230" s="879"/>
      <c r="P230" s="558" t="str">
        <f>IF(Contents!$B$2=2,"Yes","Да")</f>
        <v>Да</v>
      </c>
      <c r="Q230" s="29"/>
      <c r="R230" s="39"/>
      <c r="S230" s="39"/>
      <c r="T230" s="39"/>
      <c r="U230" s="39"/>
      <c r="W230" s="933">
        <v>1</v>
      </c>
    </row>
    <row r="231" spans="1:25" ht="22.5" customHeight="1">
      <c r="B231" s="23" t="str">
        <f>IF(Contents!$B$2=2,"by region","по региону")</f>
        <v>по региону</v>
      </c>
      <c r="C231" s="77"/>
      <c r="D231" s="111"/>
      <c r="E231" s="111"/>
      <c r="F231" s="111"/>
      <c r="G231" s="111"/>
      <c r="H231" s="111"/>
      <c r="I231" s="366"/>
      <c r="J231" s="111"/>
      <c r="K231" s="111"/>
      <c r="L231" s="111"/>
      <c r="M231" s="111"/>
      <c r="N231" s="111"/>
      <c r="O231" s="37"/>
      <c r="P231" s="558"/>
      <c r="Q231" s="29"/>
      <c r="R231" s="39" t="s">
        <v>128</v>
      </c>
      <c r="S231" s="39"/>
      <c r="T231" s="39" t="s">
        <v>129</v>
      </c>
      <c r="U231" s="39"/>
    </row>
    <row r="232" spans="1:25" ht="22.5" customHeight="1">
      <c r="A232" s="177"/>
      <c r="B232" s="177" t="str">
        <f>IF(Contents!$B$2=2,"Russian Federation","Российская Федерация")</f>
        <v>Российская Федерация</v>
      </c>
      <c r="C232" s="53"/>
      <c r="D232" s="46"/>
      <c r="E232" s="46"/>
      <c r="F232" s="46"/>
      <c r="G232" s="46"/>
      <c r="H232" s="46"/>
      <c r="I232" s="38"/>
      <c r="J232" s="38"/>
      <c r="K232" s="38"/>
      <c r="L232" s="38"/>
      <c r="M232" s="38"/>
      <c r="N232" s="89"/>
      <c r="O232" s="38"/>
      <c r="P232" s="558"/>
      <c r="Q232" s="29"/>
      <c r="R232" s="39"/>
      <c r="S232" s="39"/>
      <c r="T232" s="39"/>
      <c r="U232" s="39"/>
      <c r="Y232" s="595"/>
    </row>
    <row r="233" spans="1:25" ht="22.5" customHeight="1">
      <c r="A233" s="167"/>
      <c r="B233" s="207" t="str">
        <f>IF(Contents!$B$2=2,"Yamal-Nenets Autonomous Region","Ямало-Ненецкий автономный округ")</f>
        <v>Ямало-Ненецкий автономный округ</v>
      </c>
      <c r="C233" s="53" t="s">
        <v>0</v>
      </c>
      <c r="D233" s="81" t="s">
        <v>185</v>
      </c>
      <c r="E233" s="81" t="s">
        <v>185</v>
      </c>
      <c r="F233" s="81">
        <v>5</v>
      </c>
      <c r="G233" s="81">
        <v>5</v>
      </c>
      <c r="H233" s="81">
        <v>4</v>
      </c>
      <c r="I233" s="81">
        <v>3</v>
      </c>
      <c r="J233" s="82">
        <v>4</v>
      </c>
      <c r="K233" s="82">
        <v>4</v>
      </c>
      <c r="L233" s="82">
        <v>2</v>
      </c>
      <c r="M233" s="82">
        <v>3</v>
      </c>
      <c r="N233" s="89">
        <v>3</v>
      </c>
      <c r="O233" s="879"/>
      <c r="P233" s="558" t="str">
        <f>IF(Contents!$B$2=2,"Yes","Да")</f>
        <v>Да</v>
      </c>
      <c r="Q233" s="29"/>
      <c r="R233" s="39"/>
      <c r="S233" s="39"/>
      <c r="T233" s="39"/>
      <c r="U233" s="39"/>
      <c r="W233" s="933">
        <v>1</v>
      </c>
      <c r="Y233" s="595"/>
    </row>
    <row r="234" spans="1:25" ht="22.5" customHeight="1">
      <c r="A234" s="167"/>
      <c r="B234" s="207" t="str">
        <f>IF(Contents!$B$2=2,"Moscow and Moscow Region","Москва и Московская область")</f>
        <v>Москва и Московская область</v>
      </c>
      <c r="C234" s="53" t="s">
        <v>0</v>
      </c>
      <c r="D234" s="81" t="s">
        <v>185</v>
      </c>
      <c r="E234" s="81" t="s">
        <v>185</v>
      </c>
      <c r="F234" s="81">
        <v>7</v>
      </c>
      <c r="G234" s="81">
        <v>7</v>
      </c>
      <c r="H234" s="81">
        <v>8</v>
      </c>
      <c r="I234" s="81">
        <v>7</v>
      </c>
      <c r="J234" s="82">
        <v>10</v>
      </c>
      <c r="K234" s="82">
        <v>10</v>
      </c>
      <c r="L234" s="82">
        <v>7</v>
      </c>
      <c r="M234" s="82">
        <v>7.0000000000000009</v>
      </c>
      <c r="N234" s="89">
        <v>5</v>
      </c>
      <c r="O234" s="879"/>
      <c r="P234" s="558" t="str">
        <f>IF(Contents!$B$2=2,"Yes","Да")</f>
        <v>Да</v>
      </c>
      <c r="Q234" s="29"/>
      <c r="R234" s="39"/>
      <c r="S234" s="39"/>
      <c r="T234" s="39"/>
      <c r="U234" s="39"/>
      <c r="W234" s="933">
        <v>1</v>
      </c>
      <c r="Y234" s="595"/>
    </row>
    <row r="235" spans="1:25" ht="22.5" customHeight="1">
      <c r="A235" s="167"/>
      <c r="B235" s="207" t="str">
        <f>IF(Contents!$B$2=2,"Chelyabinsk Region","Челябинская область")</f>
        <v>Челябинская область</v>
      </c>
      <c r="C235" s="53" t="s">
        <v>0</v>
      </c>
      <c r="D235" s="81" t="s">
        <v>185</v>
      </c>
      <c r="E235" s="81" t="s">
        <v>185</v>
      </c>
      <c r="F235" s="81">
        <v>14</v>
      </c>
      <c r="G235" s="81">
        <v>20</v>
      </c>
      <c r="H235" s="81">
        <v>26</v>
      </c>
      <c r="I235" s="81">
        <v>17</v>
      </c>
      <c r="J235" s="82">
        <v>23</v>
      </c>
      <c r="K235" s="82">
        <v>16</v>
      </c>
      <c r="L235" s="82">
        <v>19</v>
      </c>
      <c r="M235" s="82">
        <v>17</v>
      </c>
      <c r="N235" s="89">
        <v>11</v>
      </c>
      <c r="O235" s="879"/>
      <c r="P235" s="558" t="str">
        <f>IF(Contents!$B$2=2,"Yes","Да")</f>
        <v>Да</v>
      </c>
      <c r="Q235" s="29"/>
      <c r="R235" s="39"/>
      <c r="S235" s="39"/>
      <c r="T235" s="39"/>
      <c r="U235" s="39"/>
      <c r="W235" s="933">
        <v>1</v>
      </c>
      <c r="Y235" s="595"/>
    </row>
    <row r="236" spans="1:25" ht="22.5" customHeight="1">
      <c r="A236" s="167"/>
      <c r="B236" s="207" t="str">
        <f>IF(Contents!$B$2=2,"St. Petersburg and Leningrad Region","Санкт-Петербург и Ленинградская область")</f>
        <v>Санкт-Петербург и Ленинградская область</v>
      </c>
      <c r="C236" s="53" t="s">
        <v>0</v>
      </c>
      <c r="D236" s="81" t="s">
        <v>185</v>
      </c>
      <c r="E236" s="81" t="s">
        <v>185</v>
      </c>
      <c r="F236" s="81">
        <v>3</v>
      </c>
      <c r="G236" s="81">
        <v>3</v>
      </c>
      <c r="H236" s="81">
        <v>5</v>
      </c>
      <c r="I236" s="81">
        <v>6</v>
      </c>
      <c r="J236" s="82">
        <v>9</v>
      </c>
      <c r="K236" s="82">
        <v>7</v>
      </c>
      <c r="L236" s="82">
        <v>6</v>
      </c>
      <c r="M236" s="82">
        <v>7.0000000000000009</v>
      </c>
      <c r="N236" s="89">
        <v>7</v>
      </c>
      <c r="O236" s="879"/>
      <c r="P236" s="558" t="str">
        <f>IF(Contents!$B$2=2,"Yes","Да")</f>
        <v>Да</v>
      </c>
      <c r="Q236" s="29"/>
      <c r="R236" s="39"/>
      <c r="S236" s="39"/>
      <c r="T236" s="39"/>
      <c r="U236" s="39"/>
      <c r="W236" s="933">
        <v>1</v>
      </c>
      <c r="Y236" s="595"/>
    </row>
    <row r="237" spans="1:25" ht="22.5" customHeight="1">
      <c r="A237" s="529"/>
      <c r="B237" s="285" t="str">
        <f>IF(Contents!$B$2=2,"Other regions","Прочие регионы")</f>
        <v>Прочие регионы</v>
      </c>
      <c r="C237" s="53"/>
      <c r="D237" s="81"/>
      <c r="E237" s="81"/>
      <c r="F237" s="81"/>
      <c r="G237" s="81"/>
      <c r="H237" s="81"/>
      <c r="I237" s="81"/>
      <c r="J237" s="81"/>
      <c r="K237" s="81"/>
      <c r="L237" s="38"/>
      <c r="M237" s="38"/>
      <c r="N237" s="89"/>
      <c r="O237" s="38"/>
      <c r="P237" s="558"/>
      <c r="Q237" s="29"/>
      <c r="R237" s="39"/>
      <c r="S237" s="39"/>
      <c r="T237" s="39"/>
      <c r="U237" s="39"/>
      <c r="W237" s="933">
        <v>1</v>
      </c>
      <c r="Y237" s="595"/>
    </row>
    <row r="238" spans="1:25" ht="22.5" hidden="1" customHeight="1" outlineLevel="1">
      <c r="A238" s="530"/>
      <c r="B238" s="367" t="str">
        <f>IF(Contents!$B$2=2,"Tyumen Region","Тюменская область")</f>
        <v>Тюменская область</v>
      </c>
      <c r="C238" s="53" t="s">
        <v>0</v>
      </c>
      <c r="D238" s="81" t="s">
        <v>185</v>
      </c>
      <c r="E238" s="81" t="s">
        <v>185</v>
      </c>
      <c r="F238" s="81">
        <v>4</v>
      </c>
      <c r="G238" s="81">
        <v>8</v>
      </c>
      <c r="H238" s="81">
        <v>6</v>
      </c>
      <c r="I238" s="81">
        <v>2</v>
      </c>
      <c r="J238" s="82">
        <v>4</v>
      </c>
      <c r="K238" s="82">
        <v>7</v>
      </c>
      <c r="L238" s="82">
        <v>6</v>
      </c>
      <c r="M238" s="82">
        <v>7.0000000000000009</v>
      </c>
      <c r="N238" s="89">
        <v>8</v>
      </c>
      <c r="O238" s="38"/>
      <c r="P238" s="558" t="str">
        <f>IF(Contents!$B$2=2,"Yes","Да")</f>
        <v>Да</v>
      </c>
      <c r="Q238" s="29"/>
      <c r="R238" s="39"/>
      <c r="S238" s="39"/>
      <c r="T238" s="39"/>
      <c r="U238" s="39"/>
      <c r="W238" s="933">
        <v>1</v>
      </c>
      <c r="Y238" s="595"/>
    </row>
    <row r="239" spans="1:25" ht="22.5" hidden="1" customHeight="1" outlineLevel="1">
      <c r="A239" s="530"/>
      <c r="B239" s="367" t="str">
        <f>IF(Contents!$B$2=2,"Rostov Region","Ростовская область")</f>
        <v>Ростовская область</v>
      </c>
      <c r="C239" s="53" t="s">
        <v>0</v>
      </c>
      <c r="D239" s="81" t="s">
        <v>185</v>
      </c>
      <c r="E239" s="81" t="s">
        <v>185</v>
      </c>
      <c r="F239" s="81">
        <v>23</v>
      </c>
      <c r="G239" s="81">
        <v>23</v>
      </c>
      <c r="H239" s="81">
        <v>40</v>
      </c>
      <c r="I239" s="81">
        <v>20</v>
      </c>
      <c r="J239" s="82">
        <v>34</v>
      </c>
      <c r="K239" s="82">
        <v>16</v>
      </c>
      <c r="L239" s="82">
        <v>21</v>
      </c>
      <c r="M239" s="82">
        <v>12</v>
      </c>
      <c r="N239" s="89">
        <v>15</v>
      </c>
      <c r="O239" s="29"/>
      <c r="P239" s="558" t="str">
        <f>IF(Contents!$B$2=2,"Yes","Да")</f>
        <v>Да</v>
      </c>
      <c r="Q239" s="29"/>
      <c r="R239" s="39"/>
      <c r="S239" s="39"/>
      <c r="T239" s="39"/>
      <c r="U239" s="39"/>
      <c r="W239" s="933">
        <v>1</v>
      </c>
      <c r="Y239" s="595"/>
    </row>
    <row r="240" spans="1:25" ht="22.5" hidden="1" customHeight="1" outlineLevel="1">
      <c r="A240" s="530"/>
      <c r="B240" s="367" t="str">
        <f>IF(Contents!$B$2=2,"Kostroma Region","Костромская область")</f>
        <v>Костромская область</v>
      </c>
      <c r="C240" s="53" t="s">
        <v>0</v>
      </c>
      <c r="D240" s="81" t="s">
        <v>185</v>
      </c>
      <c r="E240" s="81" t="s">
        <v>185</v>
      </c>
      <c r="F240" s="81">
        <v>5</v>
      </c>
      <c r="G240" s="81">
        <v>3</v>
      </c>
      <c r="H240" s="81">
        <v>7</v>
      </c>
      <c r="I240" s="81">
        <v>2</v>
      </c>
      <c r="J240" s="82">
        <v>7</v>
      </c>
      <c r="K240" s="82">
        <v>5</v>
      </c>
      <c r="L240" s="82">
        <v>3</v>
      </c>
      <c r="M240" s="82">
        <v>2</v>
      </c>
      <c r="N240" s="89">
        <v>5</v>
      </c>
      <c r="O240" s="29"/>
      <c r="P240" s="558" t="str">
        <f>IF(Contents!$B$2=2,"Yes","Да")</f>
        <v>Да</v>
      </c>
      <c r="Q240" s="29"/>
      <c r="R240" s="39"/>
      <c r="S240" s="39"/>
      <c r="T240" s="39"/>
      <c r="U240" s="39"/>
      <c r="W240" s="933">
        <v>1</v>
      </c>
      <c r="Y240" s="595"/>
    </row>
    <row r="241" spans="1:25" ht="22.5" hidden="1" customHeight="1" outlineLevel="1">
      <c r="A241" s="530"/>
      <c r="B241" s="367" t="str">
        <f>IF(Contents!$B$2=2,"Volgograd Region","Волгоградская область")</f>
        <v>Волгоградская область</v>
      </c>
      <c r="C241" s="53" t="s">
        <v>0</v>
      </c>
      <c r="D241" s="81" t="s">
        <v>185</v>
      </c>
      <c r="E241" s="81" t="s">
        <v>185</v>
      </c>
      <c r="F241" s="81">
        <v>2</v>
      </c>
      <c r="G241" s="81">
        <v>36</v>
      </c>
      <c r="H241" s="81">
        <v>57</v>
      </c>
      <c r="I241" s="81">
        <v>36</v>
      </c>
      <c r="J241" s="82">
        <v>42</v>
      </c>
      <c r="K241" s="82">
        <v>21</v>
      </c>
      <c r="L241" s="82">
        <v>25</v>
      </c>
      <c r="M241" s="82">
        <v>25</v>
      </c>
      <c r="N241" s="89">
        <v>16</v>
      </c>
      <c r="O241" s="29"/>
      <c r="P241" s="558" t="str">
        <f>IF(Contents!$B$2=2,"Yes","Да")</f>
        <v>Да</v>
      </c>
      <c r="Q241" s="29"/>
      <c r="R241" s="39"/>
      <c r="S241" s="39"/>
      <c r="T241" s="39"/>
      <c r="U241" s="39"/>
      <c r="W241" s="933">
        <v>1</v>
      </c>
      <c r="Y241" s="595"/>
    </row>
    <row r="242" spans="1:25" ht="22.5" hidden="1" customHeight="1" outlineLevel="1">
      <c r="A242" s="530"/>
      <c r="B242" s="367" t="str">
        <f>IF(Contents!$B$2=2,"Murmansk Region","Мурманская область")</f>
        <v>Мурманская область</v>
      </c>
      <c r="C242" s="53" t="s">
        <v>0</v>
      </c>
      <c r="D242" s="81" t="s">
        <v>185</v>
      </c>
      <c r="E242" s="81" t="s">
        <v>185</v>
      </c>
      <c r="F242" s="81">
        <v>11</v>
      </c>
      <c r="G242" s="81">
        <v>7</v>
      </c>
      <c r="H242" s="81">
        <v>15</v>
      </c>
      <c r="I242" s="81">
        <v>10</v>
      </c>
      <c r="J242" s="82">
        <v>13</v>
      </c>
      <c r="K242" s="82">
        <v>13</v>
      </c>
      <c r="L242" s="82">
        <v>9</v>
      </c>
      <c r="M242" s="82">
        <v>8</v>
      </c>
      <c r="N242" s="89">
        <v>7.0000000000000009</v>
      </c>
      <c r="O242" s="29"/>
      <c r="P242" s="558" t="str">
        <f>IF(Contents!$B$2=2,"Yes","Да")</f>
        <v>Да</v>
      </c>
      <c r="Q242" s="29"/>
      <c r="R242" s="39"/>
      <c r="S242" s="39"/>
      <c r="T242" s="39"/>
      <c r="U242" s="39"/>
      <c r="W242" s="933">
        <v>1</v>
      </c>
      <c r="Y242" s="595"/>
    </row>
    <row r="243" spans="1:25" ht="22.5" hidden="1" customHeight="1" outlineLevel="1">
      <c r="A243" s="530"/>
      <c r="B243" s="367" t="str">
        <f>IF(Contents!$B$2=2,"Khanty-Mansiysk Autonomous Region","Ханты-Мансийский автономный округ")</f>
        <v>Ханты-Мансийский автономный округ</v>
      </c>
      <c r="C243" s="53" t="s">
        <v>0</v>
      </c>
      <c r="D243" s="81" t="s">
        <v>185</v>
      </c>
      <c r="E243" s="81" t="s">
        <v>185</v>
      </c>
      <c r="F243" s="81">
        <v>0</v>
      </c>
      <c r="G243" s="81">
        <v>19</v>
      </c>
      <c r="H243" s="81">
        <v>11</v>
      </c>
      <c r="I243" s="81">
        <v>6</v>
      </c>
      <c r="J243" s="82">
        <v>8</v>
      </c>
      <c r="K243" s="82">
        <v>5</v>
      </c>
      <c r="L243" s="82">
        <v>2</v>
      </c>
      <c r="M243" s="82">
        <v>0</v>
      </c>
      <c r="N243" s="89">
        <v>0</v>
      </c>
      <c r="O243" s="29"/>
      <c r="P243" s="558" t="str">
        <f>IF(Contents!$B$2=2,"Yes","Да")</f>
        <v>Да</v>
      </c>
      <c r="Q243" s="29"/>
      <c r="R243" s="39"/>
      <c r="S243" s="39"/>
      <c r="T243" s="39"/>
      <c r="U243" s="39"/>
      <c r="W243" s="933">
        <v>1</v>
      </c>
      <c r="Y243" s="595"/>
    </row>
    <row r="244" spans="1:25" ht="22.5" hidden="1" customHeight="1" outlineLevel="1">
      <c r="A244" s="530"/>
      <c r="B244" s="367" t="str">
        <f>IF(Contents!$B$2=2,"Perm Territory","Пермский край")</f>
        <v>Пермский край</v>
      </c>
      <c r="C244" s="53" t="s">
        <v>0</v>
      </c>
      <c r="D244" s="81" t="s">
        <v>185</v>
      </c>
      <c r="E244" s="81" t="s">
        <v>185</v>
      </c>
      <c r="F244" s="81">
        <v>0</v>
      </c>
      <c r="G244" s="81">
        <v>0</v>
      </c>
      <c r="H244" s="81">
        <v>0</v>
      </c>
      <c r="I244" s="81">
        <v>0</v>
      </c>
      <c r="J244" s="82">
        <v>5</v>
      </c>
      <c r="K244" s="82">
        <v>0</v>
      </c>
      <c r="L244" s="82">
        <v>0</v>
      </c>
      <c r="M244" s="82">
        <v>0</v>
      </c>
      <c r="N244" s="89">
        <v>0</v>
      </c>
      <c r="O244" s="29"/>
      <c r="P244" s="558" t="str">
        <f>IF(Contents!$B$2=2,"Yes","Да")</f>
        <v>Да</v>
      </c>
      <c r="Q244" s="29"/>
      <c r="R244" s="39"/>
      <c r="S244" s="39"/>
      <c r="T244" s="39"/>
      <c r="U244" s="39"/>
      <c r="W244" s="933">
        <v>1</v>
      </c>
      <c r="Y244" s="595"/>
    </row>
    <row r="245" spans="1:25" ht="22.5" hidden="1" customHeight="1" outlineLevel="1">
      <c r="A245" s="530"/>
      <c r="B245" s="367" t="str">
        <f>IF(Contents!$B$2=2,"Astrakhan Region","Астраханская область")</f>
        <v>Астраханская область</v>
      </c>
      <c r="C245" s="53" t="s">
        <v>0</v>
      </c>
      <c r="D245" s="81" t="s">
        <v>185</v>
      </c>
      <c r="E245" s="81" t="s">
        <v>185</v>
      </c>
      <c r="F245" s="81">
        <v>11</v>
      </c>
      <c r="G245" s="81">
        <v>11</v>
      </c>
      <c r="H245" s="81">
        <v>0</v>
      </c>
      <c r="I245" s="81">
        <v>5</v>
      </c>
      <c r="J245" s="82">
        <v>10</v>
      </c>
      <c r="K245" s="82">
        <v>0</v>
      </c>
      <c r="L245" s="82">
        <v>34</v>
      </c>
      <c r="M245" s="82">
        <v>8</v>
      </c>
      <c r="N245" s="89">
        <v>8</v>
      </c>
      <c r="O245" s="29"/>
      <c r="P245" s="558" t="str">
        <f>IF(Contents!$B$2=2,"Yes","Да")</f>
        <v>Да</v>
      </c>
      <c r="Q245" s="29"/>
      <c r="R245" s="39"/>
      <c r="S245" s="39"/>
      <c r="T245" s="39"/>
      <c r="U245" s="39"/>
      <c r="W245" s="933">
        <v>1</v>
      </c>
      <c r="Y245" s="595"/>
    </row>
    <row r="246" spans="1:25" ht="22.5" hidden="1" customHeight="1" outlineLevel="1">
      <c r="A246" s="530"/>
      <c r="B246" s="367" t="str">
        <f>IF(Contents!$B$2=2,"Krasnodar Territory","Краснодарский край")</f>
        <v>Краснодарский край</v>
      </c>
      <c r="C246" s="53" t="s">
        <v>0</v>
      </c>
      <c r="D246" s="81" t="s">
        <v>185</v>
      </c>
      <c r="E246" s="81" t="s">
        <v>185</v>
      </c>
      <c r="F246" s="81">
        <v>0</v>
      </c>
      <c r="G246" s="81">
        <v>0</v>
      </c>
      <c r="H246" s="81">
        <v>0</v>
      </c>
      <c r="I246" s="81">
        <v>0</v>
      </c>
      <c r="J246" s="82">
        <v>0</v>
      </c>
      <c r="K246" s="82">
        <v>0</v>
      </c>
      <c r="L246" s="82">
        <v>0</v>
      </c>
      <c r="M246" s="82">
        <v>39</v>
      </c>
      <c r="N246" s="89">
        <v>0</v>
      </c>
      <c r="O246" s="29"/>
      <c r="P246" s="558" t="str">
        <f>IF(Contents!$B$2=2,"Yes","Да")</f>
        <v>Да</v>
      </c>
      <c r="Q246" s="29"/>
      <c r="R246" s="39"/>
      <c r="S246" s="39"/>
      <c r="T246" s="39"/>
      <c r="U246" s="39"/>
      <c r="W246" s="933">
        <v>1</v>
      </c>
      <c r="Y246" s="595"/>
    </row>
    <row r="247" spans="1:25" ht="22.5" hidden="1" customHeight="1" outlineLevel="1">
      <c r="A247" s="530"/>
      <c r="B247" s="367" t="str">
        <f>IF(Contents!$B$2=2,"Samara Region","Самарская область")</f>
        <v>Самарская область</v>
      </c>
      <c r="C247" s="53" t="s">
        <v>0</v>
      </c>
      <c r="D247" s="81" t="s">
        <v>185</v>
      </c>
      <c r="E247" s="81" t="s">
        <v>185</v>
      </c>
      <c r="F247" s="81">
        <v>0</v>
      </c>
      <c r="G247" s="81">
        <v>0</v>
      </c>
      <c r="H247" s="81">
        <v>0</v>
      </c>
      <c r="I247" s="81">
        <v>0</v>
      </c>
      <c r="J247" s="82">
        <v>20</v>
      </c>
      <c r="K247" s="82">
        <v>33</v>
      </c>
      <c r="L247" s="82">
        <v>19</v>
      </c>
      <c r="M247" s="82">
        <v>18</v>
      </c>
      <c r="N247" s="89">
        <v>5</v>
      </c>
      <c r="O247" s="29"/>
      <c r="P247" s="558" t="str">
        <f>IF(Contents!$B$2=2,"Yes","Да")</f>
        <v>Да</v>
      </c>
      <c r="Q247" s="29"/>
      <c r="R247" s="39"/>
      <c r="S247" s="39"/>
      <c r="T247" s="39"/>
      <c r="U247" s="39"/>
      <c r="W247" s="933">
        <v>1</v>
      </c>
      <c r="Y247" s="595"/>
    </row>
    <row r="248" spans="1:25" ht="22.5" hidden="1" customHeight="1" outlineLevel="1">
      <c r="A248" s="530"/>
      <c r="B248" s="367" t="str">
        <f>IF(Contents!$B$2=2,"Arkhangelsk Region","Архангельская область")</f>
        <v>Архангельская область</v>
      </c>
      <c r="C248" s="53" t="s">
        <v>0</v>
      </c>
      <c r="D248" s="81" t="s">
        <v>185</v>
      </c>
      <c r="E248" s="81" t="s">
        <v>185</v>
      </c>
      <c r="F248" s="81">
        <v>0</v>
      </c>
      <c r="G248" s="81">
        <v>0</v>
      </c>
      <c r="H248" s="81">
        <v>0</v>
      </c>
      <c r="I248" s="81">
        <v>0</v>
      </c>
      <c r="J248" s="82">
        <v>25</v>
      </c>
      <c r="K248" s="82">
        <v>0</v>
      </c>
      <c r="L248" s="82">
        <v>0</v>
      </c>
      <c r="M248" s="82">
        <v>0</v>
      </c>
      <c r="N248" s="89">
        <v>0</v>
      </c>
      <c r="O248" s="29"/>
      <c r="P248" s="558" t="str">
        <f>IF(Contents!$B$2=2,"Yes","Да")</f>
        <v>Да</v>
      </c>
      <c r="Q248" s="29"/>
      <c r="R248" s="39"/>
      <c r="S248" s="39"/>
      <c r="T248" s="39"/>
      <c r="U248" s="39"/>
      <c r="W248" s="933">
        <v>1</v>
      </c>
      <c r="Y248" s="595"/>
    </row>
    <row r="249" spans="1:25" ht="22.5" hidden="1" customHeight="1" outlineLevel="1">
      <c r="A249" s="530"/>
      <c r="B249" s="367" t="str">
        <f>IF(Contents!$B$2=2,"Kamchatka Territory","Камчатский край")</f>
        <v>Камчатский край</v>
      </c>
      <c r="C249" s="53" t="s">
        <v>0</v>
      </c>
      <c r="D249" s="81" t="s">
        <v>185</v>
      </c>
      <c r="E249" s="81" t="s">
        <v>185</v>
      </c>
      <c r="F249" s="81">
        <v>0</v>
      </c>
      <c r="G249" s="81">
        <v>0</v>
      </c>
      <c r="H249" s="81">
        <v>0</v>
      </c>
      <c r="I249" s="81">
        <v>0</v>
      </c>
      <c r="J249" s="82">
        <v>44</v>
      </c>
      <c r="K249" s="82">
        <v>20</v>
      </c>
      <c r="L249" s="82">
        <v>16</v>
      </c>
      <c r="M249" s="82">
        <v>25</v>
      </c>
      <c r="N249" s="89">
        <v>11</v>
      </c>
      <c r="O249" s="29"/>
      <c r="P249" s="558" t="str">
        <f>IF(Contents!$B$2=2,"Yes","Да")</f>
        <v>Да</v>
      </c>
      <c r="Q249" s="29"/>
      <c r="R249" s="39"/>
      <c r="S249" s="39"/>
      <c r="T249" s="39"/>
      <c r="U249" s="39"/>
      <c r="W249" s="933">
        <v>1</v>
      </c>
      <c r="Y249" s="595"/>
    </row>
    <row r="250" spans="1:25" ht="22.5" hidden="1" customHeight="1" outlineLevel="1">
      <c r="A250" s="530"/>
      <c r="B250" s="367" t="str">
        <f>IF(Contents!$B$2=2,"Republic of Bashkortostan","Республика Башкортостан")</f>
        <v>Республика Башкортостан</v>
      </c>
      <c r="C250" s="53" t="s">
        <v>0</v>
      </c>
      <c r="D250" s="81" t="s">
        <v>185</v>
      </c>
      <c r="E250" s="81" t="s">
        <v>185</v>
      </c>
      <c r="F250" s="81">
        <v>0</v>
      </c>
      <c r="G250" s="81">
        <v>0</v>
      </c>
      <c r="H250" s="81">
        <v>0</v>
      </c>
      <c r="I250" s="81">
        <v>33</v>
      </c>
      <c r="J250" s="82">
        <v>32</v>
      </c>
      <c r="K250" s="82">
        <v>32</v>
      </c>
      <c r="L250" s="82">
        <v>37</v>
      </c>
      <c r="M250" s="82">
        <v>5</v>
      </c>
      <c r="N250" s="89">
        <v>0</v>
      </c>
      <c r="O250" s="29"/>
      <c r="P250" s="558" t="str">
        <f>IF(Contents!$B$2=2,"Yes","Да")</f>
        <v>Да</v>
      </c>
      <c r="Q250" s="29"/>
      <c r="R250" s="39"/>
      <c r="S250" s="39"/>
      <c r="T250" s="39"/>
      <c r="U250" s="39"/>
      <c r="W250" s="933">
        <v>1</v>
      </c>
      <c r="Y250" s="595"/>
    </row>
    <row r="251" spans="1:25" ht="22.5" hidden="1" customHeight="1" outlineLevel="1">
      <c r="A251" s="530"/>
      <c r="B251" s="367" t="str">
        <f>IF(Contents!$B$2=2,"Novosibirsk Region","Новосибирская область")</f>
        <v>Новосибирская область</v>
      </c>
      <c r="C251" s="53" t="s">
        <v>0</v>
      </c>
      <c r="D251" s="81" t="s">
        <v>185</v>
      </c>
      <c r="E251" s="81" t="s">
        <v>185</v>
      </c>
      <c r="F251" s="81">
        <v>0</v>
      </c>
      <c r="G251" s="81">
        <v>0</v>
      </c>
      <c r="H251" s="81">
        <v>0</v>
      </c>
      <c r="I251" s="81">
        <v>0</v>
      </c>
      <c r="J251" s="82">
        <v>0</v>
      </c>
      <c r="K251" s="82">
        <v>147</v>
      </c>
      <c r="L251" s="82">
        <v>0</v>
      </c>
      <c r="M251" s="82">
        <v>0</v>
      </c>
      <c r="N251" s="89">
        <v>0</v>
      </c>
      <c r="O251" s="29"/>
      <c r="P251" s="558" t="str">
        <f>IF(Contents!$B$2=2,"Yes","Да")</f>
        <v>Да</v>
      </c>
      <c r="Q251" s="29"/>
      <c r="R251" s="39"/>
      <c r="S251" s="39"/>
      <c r="T251" s="39"/>
      <c r="U251" s="39"/>
      <c r="W251" s="933">
        <v>1</v>
      </c>
      <c r="Y251" s="595"/>
    </row>
    <row r="252" spans="1:25" ht="22.5" hidden="1" customHeight="1" outlineLevel="1">
      <c r="A252" s="530"/>
      <c r="B252" s="367" t="str">
        <f>IF(Contents!$B$2=2,"Sverdlovsk Region","Свердловская область")</f>
        <v>Свердловская область</v>
      </c>
      <c r="C252" s="53" t="s">
        <v>0</v>
      </c>
      <c r="D252" s="81" t="s">
        <v>185</v>
      </c>
      <c r="E252" s="81" t="s">
        <v>185</v>
      </c>
      <c r="F252" s="81">
        <v>0</v>
      </c>
      <c r="G252" s="81">
        <v>0</v>
      </c>
      <c r="H252" s="81">
        <v>0</v>
      </c>
      <c r="I252" s="81">
        <v>32</v>
      </c>
      <c r="J252" s="82">
        <v>36</v>
      </c>
      <c r="K252" s="82">
        <v>6</v>
      </c>
      <c r="L252" s="82">
        <v>15</v>
      </c>
      <c r="M252" s="82">
        <v>5</v>
      </c>
      <c r="N252" s="89">
        <v>0</v>
      </c>
      <c r="O252" s="29"/>
      <c r="P252" s="558" t="str">
        <f>IF(Contents!$B$2=2,"Yes","Да")</f>
        <v>Да</v>
      </c>
      <c r="Q252" s="29"/>
      <c r="R252" s="39"/>
      <c r="S252" s="39"/>
      <c r="T252" s="39"/>
      <c r="U252" s="39"/>
      <c r="W252" s="933">
        <v>1</v>
      </c>
      <c r="Y252" s="595"/>
    </row>
    <row r="253" spans="1:25" ht="22.5" hidden="1" customHeight="1" outlineLevel="1">
      <c r="A253" s="530"/>
      <c r="B253" s="367" t="str">
        <f>IF(Contents!$B$2=2,"Tver region","Тверская область")</f>
        <v>Тверская область</v>
      </c>
      <c r="C253" s="53" t="s">
        <v>0</v>
      </c>
      <c r="D253" s="81" t="s">
        <v>185</v>
      </c>
      <c r="E253" s="81" t="s">
        <v>185</v>
      </c>
      <c r="F253" s="81">
        <v>0</v>
      </c>
      <c r="G253" s="81">
        <v>0</v>
      </c>
      <c r="H253" s="81">
        <v>0</v>
      </c>
      <c r="I253" s="81">
        <v>80</v>
      </c>
      <c r="J253" s="82">
        <v>114</v>
      </c>
      <c r="K253" s="82">
        <v>33</v>
      </c>
      <c r="L253" s="82">
        <v>11</v>
      </c>
      <c r="M253" s="82">
        <v>9</v>
      </c>
      <c r="N253" s="89">
        <v>10</v>
      </c>
      <c r="O253" s="29"/>
      <c r="P253" s="558" t="str">
        <f>IF(Contents!$B$2=2,"Yes","Да")</f>
        <v>Да</v>
      </c>
      <c r="Q253" s="29"/>
      <c r="R253" s="39"/>
      <c r="S253" s="39"/>
      <c r="T253" s="39"/>
      <c r="U253" s="39"/>
      <c r="W253" s="933">
        <v>1</v>
      </c>
      <c r="Y253" s="595"/>
    </row>
    <row r="254" spans="1:25" ht="22.5" hidden="1" customHeight="1" outlineLevel="1">
      <c r="A254" s="530"/>
      <c r="B254" s="367" t="str">
        <f>IF(Contents!$B$2=2,"Tula Region","Тульская область")</f>
        <v>Тульская область</v>
      </c>
      <c r="C254" s="53" t="s">
        <v>0</v>
      </c>
      <c r="D254" s="81" t="s">
        <v>185</v>
      </c>
      <c r="E254" s="81" t="s">
        <v>185</v>
      </c>
      <c r="F254" s="81">
        <v>0</v>
      </c>
      <c r="G254" s="81">
        <v>0</v>
      </c>
      <c r="H254" s="81">
        <v>0</v>
      </c>
      <c r="I254" s="81">
        <v>0</v>
      </c>
      <c r="J254" s="82">
        <v>17</v>
      </c>
      <c r="K254" s="82">
        <v>11</v>
      </c>
      <c r="L254" s="82">
        <v>10</v>
      </c>
      <c r="M254" s="82">
        <v>12</v>
      </c>
      <c r="N254" s="89">
        <v>0</v>
      </c>
      <c r="O254" s="29"/>
      <c r="P254" s="558" t="str">
        <f>IF(Contents!$B$2=2,"Yes","Да")</f>
        <v>Да</v>
      </c>
      <c r="Q254" s="29"/>
      <c r="R254" s="39"/>
      <c r="S254" s="39"/>
      <c r="T254" s="39"/>
      <c r="U254" s="39"/>
      <c r="W254" s="933">
        <v>1</v>
      </c>
      <c r="Y254" s="595"/>
    </row>
    <row r="255" spans="1:25" ht="22.5" hidden="1" customHeight="1" outlineLevel="1">
      <c r="A255" s="530"/>
      <c r="B255" s="367" t="str">
        <f>IF(Contents!$B$2=2,"Republic of Tatarstan","Республика Татарстан")</f>
        <v>Республика Татарстан</v>
      </c>
      <c r="C255" s="53" t="s">
        <v>0</v>
      </c>
      <c r="D255" s="81" t="s">
        <v>185</v>
      </c>
      <c r="E255" s="81" t="s">
        <v>185</v>
      </c>
      <c r="F255" s="81">
        <v>0</v>
      </c>
      <c r="G255" s="81">
        <v>0</v>
      </c>
      <c r="H255" s="81">
        <v>0</v>
      </c>
      <c r="I255" s="81">
        <v>0</v>
      </c>
      <c r="J255" s="82">
        <v>100</v>
      </c>
      <c r="K255" s="82">
        <v>36</v>
      </c>
      <c r="L255" s="82">
        <v>11</v>
      </c>
      <c r="M255" s="82">
        <v>0</v>
      </c>
      <c r="N255" s="89">
        <v>0</v>
      </c>
      <c r="O255" s="29"/>
      <c r="P255" s="558" t="str">
        <f>IF(Contents!$B$2=2,"Yes","Да")</f>
        <v>Да</v>
      </c>
      <c r="Q255" s="29"/>
      <c r="R255" s="39"/>
      <c r="S255" s="39"/>
      <c r="T255" s="39"/>
      <c r="U255" s="39"/>
      <c r="W255" s="933">
        <v>1</v>
      </c>
      <c r="Y255" s="595"/>
    </row>
    <row r="256" spans="1:25" ht="22.5" hidden="1" customHeight="1" outlineLevel="1">
      <c r="A256" s="530"/>
      <c r="B256" s="367" t="str">
        <f>IF(Contents!$B$2=2,"Vladimir Region","Владимирская область")</f>
        <v>Владимирская область</v>
      </c>
      <c r="C256" s="53" t="s">
        <v>0</v>
      </c>
      <c r="D256" s="81" t="s">
        <v>185</v>
      </c>
      <c r="E256" s="81" t="s">
        <v>185</v>
      </c>
      <c r="F256" s="81">
        <v>0</v>
      </c>
      <c r="G256" s="81">
        <v>0</v>
      </c>
      <c r="H256" s="81">
        <v>0</v>
      </c>
      <c r="I256" s="81">
        <v>0</v>
      </c>
      <c r="J256" s="81">
        <v>0</v>
      </c>
      <c r="K256" s="81">
        <v>0</v>
      </c>
      <c r="L256" s="82">
        <v>0</v>
      </c>
      <c r="M256" s="82">
        <v>0</v>
      </c>
      <c r="N256" s="89">
        <v>9</v>
      </c>
      <c r="O256" s="29"/>
      <c r="P256" s="558" t="str">
        <f>IF(Contents!$B$2=2,"Yes","Да")</f>
        <v>Да</v>
      </c>
      <c r="Q256" s="29"/>
      <c r="R256" s="39"/>
      <c r="S256" s="39"/>
      <c r="T256" s="39"/>
      <c r="U256" s="39"/>
      <c r="W256" s="933">
        <v>1</v>
      </c>
      <c r="Y256" s="595"/>
    </row>
    <row r="257" spans="1:25" ht="22.5" hidden="1" customHeight="1" outlineLevel="1">
      <c r="A257" s="530"/>
      <c r="B257" s="367" t="str">
        <f>IF(Contents!$B$2=2,"Penza Region","Пензенская область")</f>
        <v>Пензенская область</v>
      </c>
      <c r="C257" s="53" t="s">
        <v>0</v>
      </c>
      <c r="D257" s="81" t="s">
        <v>185</v>
      </c>
      <c r="E257" s="81" t="s">
        <v>185</v>
      </c>
      <c r="F257" s="81">
        <v>0</v>
      </c>
      <c r="G257" s="81">
        <v>0</v>
      </c>
      <c r="H257" s="81">
        <v>0</v>
      </c>
      <c r="I257" s="81">
        <v>0</v>
      </c>
      <c r="J257" s="81">
        <v>0</v>
      </c>
      <c r="K257" s="81">
        <v>0</v>
      </c>
      <c r="L257" s="81">
        <v>39</v>
      </c>
      <c r="M257" s="81">
        <v>17</v>
      </c>
      <c r="N257" s="89">
        <v>18</v>
      </c>
      <c r="O257" s="29"/>
      <c r="P257" s="558" t="str">
        <f>IF(Contents!$B$2=2,"Yes","Да")</f>
        <v>Да</v>
      </c>
      <c r="Q257" s="29"/>
      <c r="R257" s="39"/>
      <c r="S257" s="39"/>
      <c r="T257" s="39"/>
      <c r="U257" s="39"/>
      <c r="W257" s="933">
        <v>1</v>
      </c>
      <c r="Y257" s="595"/>
    </row>
    <row r="258" spans="1:25" ht="22.5" hidden="1" customHeight="1" outlineLevel="1">
      <c r="A258" s="531"/>
      <c r="B258" s="368" t="str">
        <f>IF(Contents!$B$2=2,"Nizhny Novgorod region","Нижегородская область")</f>
        <v>Нижегородская область</v>
      </c>
      <c r="C258" s="53" t="s">
        <v>0</v>
      </c>
      <c r="D258" s="81" t="s">
        <v>185</v>
      </c>
      <c r="E258" s="81" t="s">
        <v>185</v>
      </c>
      <c r="F258" s="81">
        <v>0</v>
      </c>
      <c r="G258" s="81">
        <v>0</v>
      </c>
      <c r="H258" s="81">
        <v>0</v>
      </c>
      <c r="I258" s="81">
        <v>0</v>
      </c>
      <c r="J258" s="81">
        <v>0</v>
      </c>
      <c r="K258" s="81">
        <v>0</v>
      </c>
      <c r="L258" s="81">
        <v>0</v>
      </c>
      <c r="M258" s="81">
        <v>0</v>
      </c>
      <c r="N258" s="89">
        <v>0</v>
      </c>
      <c r="O258" s="29"/>
      <c r="P258" s="558" t="str">
        <f>IF(Contents!$B$2=2,"Yes","Да")</f>
        <v>Да</v>
      </c>
      <c r="Q258" s="29"/>
      <c r="R258" s="39"/>
      <c r="S258" s="39"/>
      <c r="T258" s="39"/>
      <c r="U258" s="39"/>
      <c r="W258" s="933">
        <v>1</v>
      </c>
      <c r="Y258" s="595"/>
    </row>
    <row r="259" spans="1:25" ht="22.5" hidden="1" customHeight="1" outlineLevel="1">
      <c r="A259" s="531"/>
      <c r="B259" s="368" t="str">
        <f>IF(Contents!$B$2=2,"Primorsky Krai","Приморский край")</f>
        <v>Приморский край</v>
      </c>
      <c r="C259" s="53" t="s">
        <v>0</v>
      </c>
      <c r="D259" s="81" t="s">
        <v>185</v>
      </c>
      <c r="E259" s="81" t="s">
        <v>185</v>
      </c>
      <c r="F259" s="81">
        <v>0</v>
      </c>
      <c r="G259" s="81">
        <v>0</v>
      </c>
      <c r="H259" s="81">
        <v>0</v>
      </c>
      <c r="I259" s="81">
        <v>0</v>
      </c>
      <c r="J259" s="81">
        <v>0</v>
      </c>
      <c r="K259" s="81">
        <v>0</v>
      </c>
      <c r="L259" s="81">
        <v>0</v>
      </c>
      <c r="M259" s="81">
        <v>4</v>
      </c>
      <c r="N259" s="89">
        <v>3</v>
      </c>
      <c r="O259" s="29"/>
      <c r="P259" s="558" t="str">
        <f>IF(Contents!$B$2=2,"Yes","Да")</f>
        <v>Да</v>
      </c>
      <c r="Q259" s="29"/>
      <c r="R259" s="39"/>
      <c r="S259" s="39"/>
      <c r="T259" s="39"/>
      <c r="U259" s="39"/>
      <c r="W259" s="933">
        <v>1</v>
      </c>
      <c r="Y259" s="595"/>
    </row>
    <row r="260" spans="1:25" ht="22.5" hidden="1" customHeight="1" outlineLevel="1">
      <c r="A260" s="531"/>
      <c r="B260" s="368" t="str">
        <f>IF(Contents!$B$2=2,"Republic of Mari El","Республика Марий Эл")</f>
        <v>Республика Марий Эл</v>
      </c>
      <c r="C260" s="53" t="s">
        <v>0</v>
      </c>
      <c r="D260" s="46" t="s">
        <v>185</v>
      </c>
      <c r="E260" s="46" t="s">
        <v>185</v>
      </c>
      <c r="F260" s="46">
        <v>0</v>
      </c>
      <c r="G260" s="46">
        <v>0</v>
      </c>
      <c r="H260" s="46">
        <v>0</v>
      </c>
      <c r="I260" s="46">
        <v>0</v>
      </c>
      <c r="J260" s="46">
        <v>0</v>
      </c>
      <c r="K260" s="91">
        <v>0</v>
      </c>
      <c r="L260" s="91">
        <v>0</v>
      </c>
      <c r="M260" s="91">
        <v>0</v>
      </c>
      <c r="N260" s="89">
        <v>0</v>
      </c>
      <c r="O260" s="29"/>
      <c r="P260" s="558" t="str">
        <f>IF(Contents!$B$2=2,"Yes","Да")</f>
        <v>Да</v>
      </c>
      <c r="Q260" s="29"/>
      <c r="R260" s="39"/>
      <c r="S260" s="39"/>
      <c r="T260" s="39"/>
      <c r="U260" s="39"/>
      <c r="W260" s="933">
        <v>1</v>
      </c>
      <c r="Y260" s="595"/>
    </row>
    <row r="261" spans="1:25" ht="22.35" hidden="1" customHeight="1" outlineLevel="1">
      <c r="B261" s="368" t="str">
        <f>IF(Contents!$B$2=2,"Chuvash Republic","Чувашская республика")</f>
        <v>Чувашская республика</v>
      </c>
      <c r="C261" s="53" t="s">
        <v>0</v>
      </c>
      <c r="D261" s="46" t="s">
        <v>185</v>
      </c>
      <c r="E261" s="46" t="s">
        <v>185</v>
      </c>
      <c r="F261" s="90" t="s">
        <v>185</v>
      </c>
      <c r="G261" s="90" t="s">
        <v>185</v>
      </c>
      <c r="H261" s="90" t="s">
        <v>185</v>
      </c>
      <c r="I261" s="46" t="s">
        <v>185</v>
      </c>
      <c r="J261" s="46" t="s">
        <v>185</v>
      </c>
      <c r="K261" s="46" t="s">
        <v>185</v>
      </c>
      <c r="L261" s="46" t="s">
        <v>185</v>
      </c>
      <c r="M261" s="46" t="s">
        <v>185</v>
      </c>
      <c r="N261" s="89">
        <v>0</v>
      </c>
      <c r="O261" s="29"/>
      <c r="P261" s="558" t="str">
        <f>IF(Contents!$B$2=2,"Yes","Да")</f>
        <v>Да</v>
      </c>
      <c r="Q261" s="29"/>
      <c r="R261" s="39"/>
      <c r="S261" s="39"/>
      <c r="T261" s="39"/>
      <c r="U261" s="39"/>
      <c r="W261" s="933">
        <v>1</v>
      </c>
      <c r="Y261" s="595"/>
    </row>
    <row r="262" spans="1:25" ht="22.5" customHeight="1" collapsed="1">
      <c r="A262" s="78"/>
      <c r="B262" s="78" t="str">
        <f>IF(Contents!$B$2=2,"Other countries","Прочие страны")</f>
        <v>Прочие страны</v>
      </c>
      <c r="C262" s="53" t="s">
        <v>0</v>
      </c>
      <c r="D262" s="46" t="s">
        <v>185</v>
      </c>
      <c r="E262" s="46" t="s">
        <v>185</v>
      </c>
      <c r="F262" s="46" t="s">
        <v>185</v>
      </c>
      <c r="G262" s="46" t="s">
        <v>185</v>
      </c>
      <c r="H262" s="46" t="s">
        <v>185</v>
      </c>
      <c r="I262" s="46" t="s">
        <v>185</v>
      </c>
      <c r="J262" s="46">
        <v>5</v>
      </c>
      <c r="K262" s="91">
        <v>22</v>
      </c>
      <c r="L262" s="91">
        <v>24</v>
      </c>
      <c r="M262" s="91">
        <v>11</v>
      </c>
      <c r="N262" s="89">
        <v>8</v>
      </c>
      <c r="O262" s="879"/>
      <c r="P262" s="558" t="str">
        <f>IF(Contents!$B$2=2,"Yes","Да")</f>
        <v>Да</v>
      </c>
      <c r="Q262" s="29"/>
      <c r="R262" s="39"/>
      <c r="S262" s="39"/>
      <c r="T262" s="39"/>
      <c r="U262" s="39"/>
      <c r="W262" s="933">
        <v>1</v>
      </c>
      <c r="Y262" s="595"/>
    </row>
    <row r="263" spans="1:25" ht="22.5" customHeight="1">
      <c r="B263" s="78"/>
      <c r="C263" s="53"/>
      <c r="D263" s="46"/>
      <c r="E263" s="46"/>
      <c r="F263" s="46"/>
      <c r="G263" s="46"/>
      <c r="H263" s="46"/>
      <c r="I263" s="46"/>
      <c r="J263" s="38"/>
      <c r="K263" s="38"/>
      <c r="L263" s="38"/>
      <c r="M263" s="38"/>
      <c r="N263" s="38"/>
      <c r="O263" s="29"/>
      <c r="P263" s="558"/>
      <c r="Q263" s="29"/>
      <c r="R263" s="39"/>
      <c r="S263" s="39"/>
      <c r="T263" s="39"/>
      <c r="U263" s="39"/>
    </row>
    <row r="264" spans="1:25">
      <c r="B264" s="25" t="str">
        <f>IF(Contents!$B$2=2,"Notes:","Примечания: ")</f>
        <v xml:space="preserve">Примечания: </v>
      </c>
      <c r="C264" s="61"/>
      <c r="D264" s="108"/>
      <c r="E264" s="108"/>
      <c r="F264" s="108"/>
      <c r="G264" s="108"/>
      <c r="H264" s="108"/>
      <c r="I264" s="108"/>
      <c r="J264" s="108"/>
      <c r="K264" s="108"/>
      <c r="L264" s="108"/>
      <c r="M264" s="108"/>
      <c r="N264" s="109"/>
      <c r="O264" s="38"/>
      <c r="P264" s="558"/>
      <c r="Q264" s="38"/>
      <c r="R264" s="39"/>
      <c r="S264" s="39"/>
      <c r="T264" s="39"/>
      <c r="U264" s="39"/>
    </row>
    <row r="265" spans="1:25">
      <c r="B265" s="26" t="str">
        <f>IF(Contents!$B$2=2,"Turnover rate = Number of employees dismissed at their own request/Average headcount for the reporting year х 100%","Коэффициент текучести = Количество уволенных по собственному желанию / Среднесписочная численность работников за отчетный год х 100%")</f>
        <v>Коэффициент текучести = Количество уволенных по собственному желанию / Среднесписочная численность работников за отчетный год х 100%</v>
      </c>
      <c r="C265" s="294"/>
      <c r="D265" s="381"/>
      <c r="E265" s="381"/>
      <c r="F265" s="381"/>
      <c r="G265" s="381"/>
      <c r="H265" s="381"/>
      <c r="I265" s="381"/>
      <c r="J265" s="381"/>
      <c r="K265" s="381"/>
      <c r="L265" s="381"/>
      <c r="M265" s="381"/>
      <c r="N265" s="381"/>
      <c r="O265" s="29"/>
      <c r="P265" s="558"/>
      <c r="Q265" s="29"/>
      <c r="R265" s="39"/>
      <c r="S265" s="39"/>
      <c r="T265" s="39"/>
      <c r="U265" s="39"/>
    </row>
    <row r="266" spans="1:25">
      <c r="B266" s="301"/>
      <c r="C266" s="301"/>
      <c r="D266" s="370"/>
      <c r="E266" s="370"/>
      <c r="F266" s="370"/>
      <c r="G266" s="370"/>
      <c r="H266" s="370"/>
      <c r="I266" s="370"/>
      <c r="J266" s="370"/>
      <c r="K266" s="370"/>
      <c r="L266" s="370"/>
      <c r="M266" s="370"/>
      <c r="N266" s="370"/>
      <c r="O266" s="29"/>
      <c r="P266" s="558"/>
      <c r="Q266" s="29"/>
      <c r="R266" s="39"/>
      <c r="S266" s="39"/>
      <c r="T266" s="39"/>
      <c r="U266" s="39"/>
    </row>
    <row r="267" spans="1:25" ht="22.5" customHeight="1">
      <c r="B267" s="371" t="str">
        <f>IF(Contents!$B$2=2,"New hires","Персонал принятый")</f>
        <v>Персонал принятый</v>
      </c>
      <c r="C267" s="49" t="str">
        <f>IF(Contents!$B$2=2,"people"," человек")</f>
        <v xml:space="preserve"> человек</v>
      </c>
      <c r="D267" s="372">
        <v>2326</v>
      </c>
      <c r="E267" s="372">
        <v>2196</v>
      </c>
      <c r="F267" s="372">
        <v>1542</v>
      </c>
      <c r="G267" s="372">
        <v>1840</v>
      </c>
      <c r="H267" s="372">
        <v>2818</v>
      </c>
      <c r="I267" s="372">
        <v>2388</v>
      </c>
      <c r="J267" s="372">
        <v>2998</v>
      </c>
      <c r="K267" s="372">
        <v>2617</v>
      </c>
      <c r="L267" s="372">
        <v>2524</v>
      </c>
      <c r="M267" s="372">
        <v>2421</v>
      </c>
      <c r="N267" s="372">
        <v>2961</v>
      </c>
      <c r="O267" s="879"/>
      <c r="P267" s="558" t="str">
        <f>IF(Contents!$B$2=2,"Yes","Да")</f>
        <v>Да</v>
      </c>
      <c r="Q267" s="824"/>
      <c r="R267" s="39" t="s">
        <v>128</v>
      </c>
      <c r="S267" s="39"/>
      <c r="T267" s="39" t="s">
        <v>129</v>
      </c>
      <c r="U267" s="39"/>
      <c r="W267" s="933">
        <v>1</v>
      </c>
    </row>
    <row r="268" spans="1:25" ht="22.5" customHeight="1">
      <c r="B268" s="364" t="str">
        <f>IF(Contents!$B$2=2,"by gender","по полу")</f>
        <v>по полу</v>
      </c>
      <c r="C268" s="77"/>
      <c r="D268" s="111"/>
      <c r="E268" s="111"/>
      <c r="F268" s="111"/>
      <c r="G268" s="111"/>
      <c r="H268" s="111"/>
      <c r="I268" s="85"/>
      <c r="J268" s="111"/>
      <c r="K268" s="111"/>
      <c r="L268" s="111"/>
      <c r="M268" s="111"/>
      <c r="N268" s="111"/>
      <c r="O268" s="37"/>
      <c r="P268" s="558"/>
      <c r="Q268" s="824"/>
      <c r="R268" s="39" t="s">
        <v>128</v>
      </c>
      <c r="S268" s="39"/>
      <c r="T268" s="39" t="s">
        <v>129</v>
      </c>
      <c r="U268" s="39"/>
    </row>
    <row r="269" spans="1:25" ht="22.5" customHeight="1">
      <c r="B269" s="93" t="str">
        <f>IF(Contents!$B$2=2,"Male","Мужчины")</f>
        <v>Мужчины</v>
      </c>
      <c r="C269" s="53" t="str">
        <f>IF(Contents!$B$2=2,"people"," человек")</f>
        <v xml:space="preserve"> человек</v>
      </c>
      <c r="D269" s="46" t="s">
        <v>185</v>
      </c>
      <c r="E269" s="46" t="s">
        <v>185</v>
      </c>
      <c r="F269" s="46">
        <v>1156</v>
      </c>
      <c r="G269" s="46">
        <v>1365</v>
      </c>
      <c r="H269" s="46">
        <v>2155</v>
      </c>
      <c r="I269" s="46">
        <v>1800</v>
      </c>
      <c r="J269" s="38">
        <v>2410</v>
      </c>
      <c r="K269" s="38">
        <v>2042</v>
      </c>
      <c r="L269" s="38">
        <v>1979</v>
      </c>
      <c r="M269" s="38">
        <v>1970</v>
      </c>
      <c r="N269" s="89">
        <v>2589</v>
      </c>
      <c r="O269" s="879"/>
      <c r="P269" s="558" t="str">
        <f>IF(Contents!$B$2=2,"Yes","Да")</f>
        <v>Да</v>
      </c>
      <c r="Q269" s="824"/>
      <c r="R269" s="39"/>
      <c r="S269" s="39"/>
      <c r="T269" s="39"/>
      <c r="U269" s="39"/>
      <c r="W269" s="933">
        <v>1</v>
      </c>
    </row>
    <row r="270" spans="1:25" ht="22.5" customHeight="1">
      <c r="B270" s="93" t="str">
        <f>IF(Contents!$B$2=2,"Female","Женщины")</f>
        <v>Женщины</v>
      </c>
      <c r="C270" s="53" t="str">
        <f>IF(Contents!$B$2=2,"people"," человек")</f>
        <v xml:space="preserve"> человек</v>
      </c>
      <c r="D270" s="46" t="s">
        <v>185</v>
      </c>
      <c r="E270" s="46" t="s">
        <v>185</v>
      </c>
      <c r="F270" s="46">
        <v>386</v>
      </c>
      <c r="G270" s="46">
        <v>475</v>
      </c>
      <c r="H270" s="46">
        <v>663</v>
      </c>
      <c r="I270" s="46">
        <v>588</v>
      </c>
      <c r="J270" s="38">
        <v>588</v>
      </c>
      <c r="K270" s="38">
        <v>575</v>
      </c>
      <c r="L270" s="38">
        <v>545</v>
      </c>
      <c r="M270" s="38">
        <v>451</v>
      </c>
      <c r="N270" s="89">
        <v>372</v>
      </c>
      <c r="O270" s="879"/>
      <c r="P270" s="558" t="str">
        <f>IF(Contents!$B$2=2,"Yes","Да")</f>
        <v>Да</v>
      </c>
      <c r="Q270" s="824"/>
      <c r="R270" s="39"/>
      <c r="S270" s="39"/>
      <c r="T270" s="39"/>
      <c r="U270" s="39"/>
      <c r="W270" s="933">
        <v>1</v>
      </c>
    </row>
    <row r="271" spans="1:25" ht="22.5" customHeight="1">
      <c r="B271" s="23" t="str">
        <f>IF(Contents!$B$2=2,"by age","по возрасту")</f>
        <v>по возрасту</v>
      </c>
      <c r="C271" s="77"/>
      <c r="D271" s="111"/>
      <c r="E271" s="111"/>
      <c r="F271" s="111"/>
      <c r="G271" s="111"/>
      <c r="H271" s="111"/>
      <c r="I271" s="366"/>
      <c r="J271" s="111"/>
      <c r="K271" s="111"/>
      <c r="L271" s="111"/>
      <c r="M271" s="111"/>
      <c r="N271" s="111"/>
      <c r="O271" s="37"/>
      <c r="P271" s="558"/>
      <c r="Q271" s="824"/>
      <c r="R271" s="39" t="s">
        <v>128</v>
      </c>
      <c r="S271" s="39"/>
      <c r="T271" s="39" t="s">
        <v>129</v>
      </c>
      <c r="U271" s="39"/>
    </row>
    <row r="272" spans="1:25" ht="22.5" customHeight="1">
      <c r="B272" s="78" t="str">
        <f>IF(Contents!$B$2=2,"Under 30","До 30 лет")</f>
        <v>До 30 лет</v>
      </c>
      <c r="C272" s="53" t="str">
        <f>IF(Contents!$B$2=2,"people"," человек")</f>
        <v xml:space="preserve"> человек</v>
      </c>
      <c r="D272" s="46" t="s">
        <v>185</v>
      </c>
      <c r="E272" s="46" t="s">
        <v>185</v>
      </c>
      <c r="F272" s="46">
        <v>449</v>
      </c>
      <c r="G272" s="46">
        <v>461</v>
      </c>
      <c r="H272" s="46">
        <v>605</v>
      </c>
      <c r="I272" s="38">
        <v>482</v>
      </c>
      <c r="J272" s="38">
        <v>583</v>
      </c>
      <c r="K272" s="38">
        <v>518</v>
      </c>
      <c r="L272" s="38">
        <v>453</v>
      </c>
      <c r="M272" s="38">
        <v>487</v>
      </c>
      <c r="N272" s="89">
        <v>335</v>
      </c>
      <c r="O272" s="879"/>
      <c r="P272" s="558" t="str">
        <f>IF(Contents!$B$2=2,"Yes","Да")</f>
        <v>Да</v>
      </c>
      <c r="Q272" s="824"/>
      <c r="R272" s="39"/>
      <c r="S272" s="39"/>
      <c r="T272" s="39"/>
      <c r="U272" s="39"/>
      <c r="W272" s="933">
        <v>1</v>
      </c>
    </row>
    <row r="273" spans="2:25" ht="22.5" customHeight="1">
      <c r="B273" s="78" t="str">
        <f>IF(Contents!$B$2=2,"30 to 50","30-50 лет")</f>
        <v>30-50 лет</v>
      </c>
      <c r="C273" s="53" t="str">
        <f>IF(Contents!$B$2=2,"people"," человек")</f>
        <v xml:space="preserve"> человек</v>
      </c>
      <c r="D273" s="46" t="s">
        <v>185</v>
      </c>
      <c r="E273" s="46" t="s">
        <v>185</v>
      </c>
      <c r="F273" s="46">
        <v>989</v>
      </c>
      <c r="G273" s="46">
        <v>1249</v>
      </c>
      <c r="H273" s="46">
        <v>1944</v>
      </c>
      <c r="I273" s="38">
        <v>1718</v>
      </c>
      <c r="J273" s="38">
        <v>2193</v>
      </c>
      <c r="K273" s="38">
        <v>1884</v>
      </c>
      <c r="L273" s="38">
        <v>1858</v>
      </c>
      <c r="M273" s="38">
        <v>1690</v>
      </c>
      <c r="N273" s="89">
        <v>2141</v>
      </c>
      <c r="O273" s="879"/>
      <c r="P273" s="558" t="str">
        <f>IF(Contents!$B$2=2,"Yes","Да")</f>
        <v>Да</v>
      </c>
      <c r="Q273" s="824"/>
      <c r="R273" s="39"/>
      <c r="S273" s="39"/>
      <c r="T273" s="39"/>
      <c r="U273" s="39"/>
      <c r="W273" s="933">
        <v>1</v>
      </c>
    </row>
    <row r="274" spans="2:25" ht="22.5" customHeight="1">
      <c r="B274" s="78" t="str">
        <f>IF(Contents!$B$2=2,"Over 50","Старше 50 лет")</f>
        <v>Старше 50 лет</v>
      </c>
      <c r="C274" s="53" t="str">
        <f>IF(Contents!$B$2=2,"people"," человек")</f>
        <v xml:space="preserve"> человек</v>
      </c>
      <c r="D274" s="46" t="s">
        <v>185</v>
      </c>
      <c r="E274" s="46" t="s">
        <v>185</v>
      </c>
      <c r="F274" s="46">
        <v>104</v>
      </c>
      <c r="G274" s="46">
        <v>130</v>
      </c>
      <c r="H274" s="46">
        <v>269</v>
      </c>
      <c r="I274" s="38">
        <v>188</v>
      </c>
      <c r="J274" s="38">
        <v>222</v>
      </c>
      <c r="K274" s="38">
        <v>215</v>
      </c>
      <c r="L274" s="38">
        <v>213</v>
      </c>
      <c r="M274" s="38">
        <v>244</v>
      </c>
      <c r="N274" s="89">
        <v>485</v>
      </c>
      <c r="O274" s="879"/>
      <c r="P274" s="558" t="str">
        <f>IF(Contents!$B$2=2,"Yes","Да")</f>
        <v>Да</v>
      </c>
      <c r="Q274" s="824"/>
      <c r="R274" s="39"/>
      <c r="S274" s="39"/>
      <c r="T274" s="39"/>
      <c r="U274" s="39"/>
      <c r="W274" s="933">
        <v>1</v>
      </c>
    </row>
    <row r="275" spans="2:25" ht="22.5" customHeight="1">
      <c r="B275" s="23" t="str">
        <f>IF(Contents!$B$2=2,"by region","по региону")</f>
        <v>по региону</v>
      </c>
      <c r="C275" s="77"/>
      <c r="D275" s="111"/>
      <c r="E275" s="111"/>
      <c r="F275" s="111"/>
      <c r="G275" s="111"/>
      <c r="H275" s="111"/>
      <c r="I275" s="366"/>
      <c r="J275" s="111"/>
      <c r="K275" s="111"/>
      <c r="L275" s="111"/>
      <c r="M275" s="111"/>
      <c r="N275" s="111"/>
      <c r="O275" s="37"/>
      <c r="P275" s="558"/>
      <c r="Q275" s="824"/>
      <c r="R275" s="39" t="s">
        <v>128</v>
      </c>
      <c r="S275" s="39"/>
      <c r="T275" s="39" t="s">
        <v>129</v>
      </c>
      <c r="U275" s="39"/>
    </row>
    <row r="276" spans="2:25" ht="22.5" customHeight="1">
      <c r="B276" s="177" t="str">
        <f>IF(Contents!$B$2=2,"Russian Federation","Российская Федерация")</f>
        <v>Российская Федерация</v>
      </c>
      <c r="C276" s="53" t="str">
        <f>IF(Contents!$B$2=2,"people"," человек")</f>
        <v xml:space="preserve"> человек</v>
      </c>
      <c r="D276" s="46" t="s">
        <v>185</v>
      </c>
      <c r="E276" s="46" t="s">
        <v>185</v>
      </c>
      <c r="F276" s="46">
        <v>1509</v>
      </c>
      <c r="G276" s="46">
        <v>1805</v>
      </c>
      <c r="H276" s="46">
        <v>2758</v>
      </c>
      <c r="I276" s="46">
        <v>2349</v>
      </c>
      <c r="J276" s="46">
        <v>2952</v>
      </c>
      <c r="K276" s="46">
        <v>2591</v>
      </c>
      <c r="L276" s="46">
        <v>2488</v>
      </c>
      <c r="M276" s="46">
        <v>2386</v>
      </c>
      <c r="N276" s="89">
        <v>2949</v>
      </c>
      <c r="O276" s="879"/>
      <c r="P276" s="558" t="str">
        <f>IF(Contents!$B$2=2,"Yes","Да")</f>
        <v>Да</v>
      </c>
      <c r="Q276" s="824"/>
      <c r="R276" s="39"/>
      <c r="S276" s="39"/>
      <c r="T276" s="39"/>
      <c r="U276" s="39"/>
      <c r="W276" s="933">
        <v>1</v>
      </c>
      <c r="Y276" s="595"/>
    </row>
    <row r="277" spans="2:25" ht="22.5" customHeight="1">
      <c r="B277" s="207" t="str">
        <f>IF(Contents!$B$2=2,"Yamal-Nenets Autonomous Region","Ямало-Ненецкий автономный округ")</f>
        <v>Ямало-Ненецкий автономный округ</v>
      </c>
      <c r="C277" s="53" t="str">
        <f>IF(Contents!$B$2=2,"people"," человек")</f>
        <v xml:space="preserve"> человек</v>
      </c>
      <c r="D277" s="46" t="s">
        <v>185</v>
      </c>
      <c r="E277" s="46" t="s">
        <v>185</v>
      </c>
      <c r="F277" s="46">
        <v>852</v>
      </c>
      <c r="G277" s="46">
        <v>926</v>
      </c>
      <c r="H277" s="46">
        <v>1381</v>
      </c>
      <c r="I277" s="38">
        <v>1000</v>
      </c>
      <c r="J277" s="38">
        <v>1462</v>
      </c>
      <c r="K277" s="38">
        <v>1205</v>
      </c>
      <c r="L277" s="38">
        <v>1175</v>
      </c>
      <c r="M277" s="38">
        <v>1276</v>
      </c>
      <c r="N277" s="89">
        <v>2032</v>
      </c>
      <c r="O277" s="879"/>
      <c r="P277" s="558" t="str">
        <f>IF(Contents!$B$2=2,"Yes","Да")</f>
        <v>Да</v>
      </c>
      <c r="Q277" s="824"/>
      <c r="R277" s="39"/>
      <c r="S277" s="39"/>
      <c r="T277" s="39"/>
      <c r="U277" s="39"/>
      <c r="W277" s="933">
        <v>1</v>
      </c>
      <c r="Y277" s="595"/>
    </row>
    <row r="278" spans="2:25" ht="22.5" customHeight="1">
      <c r="B278" s="207" t="str">
        <f>IF(Contents!$B$2=2,"Moscow and Moscow Region","Москва и Московская область")</f>
        <v>Москва и Московская область</v>
      </c>
      <c r="C278" s="53" t="str">
        <f>IF(Contents!$B$2=2,"people"," человек")</f>
        <v xml:space="preserve"> человек</v>
      </c>
      <c r="D278" s="46" t="s">
        <v>185</v>
      </c>
      <c r="E278" s="46" t="s">
        <v>185</v>
      </c>
      <c r="F278" s="46">
        <v>249</v>
      </c>
      <c r="G278" s="46">
        <v>268</v>
      </c>
      <c r="H278" s="46">
        <v>418</v>
      </c>
      <c r="I278" s="38">
        <v>450</v>
      </c>
      <c r="J278" s="38">
        <v>450</v>
      </c>
      <c r="K278" s="38">
        <v>388</v>
      </c>
      <c r="L278" s="38">
        <v>453</v>
      </c>
      <c r="M278" s="38">
        <v>292</v>
      </c>
      <c r="N278" s="89">
        <v>199</v>
      </c>
      <c r="O278" s="879"/>
      <c r="P278" s="558" t="str">
        <f>IF(Contents!$B$2=2,"Yes","Да")</f>
        <v>Да</v>
      </c>
      <c r="Q278" s="824"/>
      <c r="R278" s="39"/>
      <c r="S278" s="39"/>
      <c r="T278" s="39"/>
      <c r="U278" s="39"/>
      <c r="W278" s="933">
        <v>1</v>
      </c>
      <c r="Y278" s="595"/>
    </row>
    <row r="279" spans="2:25" ht="22.5" customHeight="1">
      <c r="B279" s="207" t="str">
        <f>IF(Contents!$B$2=2,"Chelyabinsk Region","Челябинская область")</f>
        <v>Челябинская область</v>
      </c>
      <c r="C279" s="53" t="str">
        <f>IF(Contents!$B$2=2,"people"," человек")</f>
        <v xml:space="preserve"> человек</v>
      </c>
      <c r="D279" s="46" t="s">
        <v>185</v>
      </c>
      <c r="E279" s="46" t="s">
        <v>185</v>
      </c>
      <c r="F279" s="46">
        <v>135</v>
      </c>
      <c r="G279" s="46">
        <v>173</v>
      </c>
      <c r="H279" s="46">
        <v>386</v>
      </c>
      <c r="I279" s="38">
        <v>262</v>
      </c>
      <c r="J279" s="38">
        <v>241</v>
      </c>
      <c r="K279" s="38">
        <v>190</v>
      </c>
      <c r="L279" s="38">
        <v>165</v>
      </c>
      <c r="M279" s="38">
        <v>197</v>
      </c>
      <c r="N279" s="89">
        <v>154</v>
      </c>
      <c r="O279" s="879"/>
      <c r="P279" s="558" t="str">
        <f>IF(Contents!$B$2=2,"Yes","Да")</f>
        <v>Да</v>
      </c>
      <c r="Q279" s="824"/>
      <c r="R279" s="39"/>
      <c r="S279" s="39"/>
      <c r="T279" s="39"/>
      <c r="U279" s="39"/>
      <c r="W279" s="933">
        <v>1</v>
      </c>
      <c r="Y279" s="595"/>
    </row>
    <row r="280" spans="2:25" ht="22.5" customHeight="1">
      <c r="B280" s="207" t="str">
        <f>IF(Contents!$B$2=2,"St. Petersburg and Leningrad Region","Санкт-Петербург и Ленинградская область")</f>
        <v>Санкт-Петербург и Ленинградская область</v>
      </c>
      <c r="C280" s="53" t="str">
        <f>IF(Contents!$B$2=2,"people"," человек")</f>
        <v xml:space="preserve"> человек</v>
      </c>
      <c r="D280" s="46" t="s">
        <v>185</v>
      </c>
      <c r="E280" s="46" t="s">
        <v>185</v>
      </c>
      <c r="F280" s="46">
        <v>85</v>
      </c>
      <c r="G280" s="46">
        <v>199</v>
      </c>
      <c r="H280" s="46">
        <v>165</v>
      </c>
      <c r="I280" s="38">
        <v>122</v>
      </c>
      <c r="J280" s="38">
        <v>208</v>
      </c>
      <c r="K280" s="38">
        <v>196</v>
      </c>
      <c r="L280" s="38">
        <v>163</v>
      </c>
      <c r="M280" s="38">
        <v>164</v>
      </c>
      <c r="N280" s="89">
        <v>215</v>
      </c>
      <c r="O280" s="879"/>
      <c r="P280" s="558" t="str">
        <f>IF(Contents!$B$2=2,"Yes","Да")</f>
        <v>Да</v>
      </c>
      <c r="Q280" s="824"/>
      <c r="R280" s="39"/>
      <c r="S280" s="39"/>
      <c r="T280" s="39"/>
      <c r="U280" s="39"/>
      <c r="W280" s="933">
        <v>1</v>
      </c>
      <c r="Y280" s="595"/>
    </row>
    <row r="281" spans="2:25" ht="22.5" customHeight="1">
      <c r="B281" s="285" t="str">
        <f>IF(Contents!$B$2=2,"Other regions","Прочие регионы")</f>
        <v>Прочие регионы</v>
      </c>
      <c r="C281" s="53" t="str">
        <f>IF(Contents!$B$2=2,"people"," человек")</f>
        <v xml:space="preserve"> человек</v>
      </c>
      <c r="D281" s="46" t="s">
        <v>185</v>
      </c>
      <c r="E281" s="46" t="s">
        <v>185</v>
      </c>
      <c r="F281" s="46">
        <v>188</v>
      </c>
      <c r="G281" s="46">
        <v>239</v>
      </c>
      <c r="H281" s="46">
        <v>408</v>
      </c>
      <c r="I281" s="38">
        <v>515</v>
      </c>
      <c r="J281" s="38">
        <v>591</v>
      </c>
      <c r="K281" s="38">
        <v>612</v>
      </c>
      <c r="L281" s="38">
        <v>532</v>
      </c>
      <c r="M281" s="38">
        <v>457</v>
      </c>
      <c r="N281" s="89">
        <v>349</v>
      </c>
      <c r="O281" s="879"/>
      <c r="P281" s="558" t="str">
        <f>IF(Contents!$B$2=2,"Yes","Да")</f>
        <v>Да</v>
      </c>
      <c r="Q281" s="824"/>
      <c r="R281" s="39"/>
      <c r="S281" s="39"/>
      <c r="T281" s="39"/>
      <c r="U281" s="39"/>
      <c r="W281" s="933">
        <v>1</v>
      </c>
      <c r="Y281" s="595"/>
    </row>
    <row r="282" spans="2:25" ht="22.5" hidden="1" customHeight="1" outlineLevel="1">
      <c r="B282" s="367" t="str">
        <f>IF(Contents!$B$2=2,"Tyumen Region","Тюменская область")</f>
        <v>Тюменская область</v>
      </c>
      <c r="C282" s="53" t="str">
        <f>IF(Contents!$B$2=2,"people"," человек")</f>
        <v xml:space="preserve"> человек</v>
      </c>
      <c r="D282" s="46" t="s">
        <v>185</v>
      </c>
      <c r="E282" s="46" t="s">
        <v>185</v>
      </c>
      <c r="F282" s="46">
        <v>31</v>
      </c>
      <c r="G282" s="46">
        <v>88</v>
      </c>
      <c r="H282" s="46">
        <v>126</v>
      </c>
      <c r="I282" s="38">
        <v>138</v>
      </c>
      <c r="J282" s="38">
        <v>186</v>
      </c>
      <c r="K282" s="38">
        <v>140</v>
      </c>
      <c r="L282" s="38">
        <v>139</v>
      </c>
      <c r="M282" s="38">
        <v>130</v>
      </c>
      <c r="N282" s="89">
        <v>124</v>
      </c>
      <c r="O282" s="879"/>
      <c r="P282" s="558" t="str">
        <f>IF(Contents!$B$2=2,"Yes","Да")</f>
        <v>Да</v>
      </c>
      <c r="Q282" s="824"/>
      <c r="R282" s="39"/>
      <c r="S282" s="39"/>
      <c r="T282" s="39"/>
      <c r="U282" s="39"/>
      <c r="W282" s="933">
        <v>1</v>
      </c>
      <c r="Y282" s="595"/>
    </row>
    <row r="283" spans="2:25" ht="22.5" hidden="1" customHeight="1" outlineLevel="1">
      <c r="B283" s="367" t="str">
        <f>IF(Contents!$B$2=2,"Rostov Region","Ростовская область")</f>
        <v>Ростовская область</v>
      </c>
      <c r="C283" s="53" t="str">
        <f>IF(Contents!$B$2=2,"people"," человек")</f>
        <v xml:space="preserve"> человек</v>
      </c>
      <c r="D283" s="46" t="s">
        <v>185</v>
      </c>
      <c r="E283" s="46" t="s">
        <v>185</v>
      </c>
      <c r="F283" s="46">
        <v>41</v>
      </c>
      <c r="G283" s="46">
        <v>36</v>
      </c>
      <c r="H283" s="46">
        <v>51</v>
      </c>
      <c r="I283" s="38">
        <v>213</v>
      </c>
      <c r="J283" s="38">
        <v>40</v>
      </c>
      <c r="K283" s="38">
        <v>32</v>
      </c>
      <c r="L283" s="38">
        <v>23</v>
      </c>
      <c r="M283" s="38">
        <v>32</v>
      </c>
      <c r="N283" s="89">
        <v>24</v>
      </c>
      <c r="O283" s="879"/>
      <c r="P283" s="558" t="str">
        <f>IF(Contents!$B$2=2,"Yes","Да")</f>
        <v>Да</v>
      </c>
      <c r="Q283" s="824"/>
      <c r="R283" s="39"/>
      <c r="S283" s="39"/>
      <c r="T283" s="39"/>
      <c r="U283" s="39"/>
      <c r="W283" s="933">
        <v>1</v>
      </c>
      <c r="Y283" s="595"/>
    </row>
    <row r="284" spans="2:25" ht="22.5" hidden="1" customHeight="1" outlineLevel="1">
      <c r="B284" s="367" t="str">
        <f>IF(Contents!$B$2=2,"Kostroma Region","Костромская область")</f>
        <v>Костромская область</v>
      </c>
      <c r="C284" s="53" t="str">
        <f>IF(Contents!$B$2=2,"people"," человек")</f>
        <v xml:space="preserve"> человек</v>
      </c>
      <c r="D284" s="46" t="s">
        <v>185</v>
      </c>
      <c r="E284" s="46" t="s">
        <v>185</v>
      </c>
      <c r="F284" s="46">
        <v>12</v>
      </c>
      <c r="G284" s="46">
        <v>17</v>
      </c>
      <c r="H284" s="46">
        <v>14</v>
      </c>
      <c r="I284" s="38">
        <v>42</v>
      </c>
      <c r="J284" s="38">
        <v>16</v>
      </c>
      <c r="K284" s="38">
        <v>12</v>
      </c>
      <c r="L284" s="38">
        <v>1</v>
      </c>
      <c r="M284" s="38">
        <v>4</v>
      </c>
      <c r="N284" s="89">
        <v>11</v>
      </c>
      <c r="O284" s="879"/>
      <c r="P284" s="558" t="str">
        <f>IF(Contents!$B$2=2,"Yes","Да")</f>
        <v>Да</v>
      </c>
      <c r="Q284" s="824"/>
      <c r="R284" s="39"/>
      <c r="S284" s="39"/>
      <c r="T284" s="39"/>
      <c r="U284" s="39"/>
      <c r="W284" s="933">
        <v>1</v>
      </c>
      <c r="Y284" s="595"/>
    </row>
    <row r="285" spans="2:25" ht="22.5" hidden="1" customHeight="1" outlineLevel="1">
      <c r="B285" s="367" t="str">
        <f>IF(Contents!$B$2=2,"Volgograd Region","Волгоградская область")</f>
        <v>Волгоградская область</v>
      </c>
      <c r="C285" s="53" t="str">
        <f>IF(Contents!$B$2=2,"people"," человек")</f>
        <v xml:space="preserve"> человек</v>
      </c>
      <c r="D285" s="46" t="s">
        <v>185</v>
      </c>
      <c r="E285" s="46" t="s">
        <v>185</v>
      </c>
      <c r="F285" s="46">
        <v>37</v>
      </c>
      <c r="G285" s="46">
        <v>46</v>
      </c>
      <c r="H285" s="46">
        <v>78</v>
      </c>
      <c r="I285" s="38">
        <v>11</v>
      </c>
      <c r="J285" s="38">
        <v>57</v>
      </c>
      <c r="K285" s="38">
        <v>40</v>
      </c>
      <c r="L285" s="38">
        <v>34</v>
      </c>
      <c r="M285" s="38">
        <v>34</v>
      </c>
      <c r="N285" s="89">
        <v>39</v>
      </c>
      <c r="O285" s="879"/>
      <c r="P285" s="558" t="str">
        <f>IF(Contents!$B$2=2,"Yes","Да")</f>
        <v>Да</v>
      </c>
      <c r="Q285" s="824"/>
      <c r="R285" s="39"/>
      <c r="S285" s="39"/>
      <c r="T285" s="39"/>
      <c r="U285" s="39"/>
      <c r="W285" s="933">
        <v>1</v>
      </c>
      <c r="Y285" s="595"/>
    </row>
    <row r="286" spans="2:25" ht="22.5" hidden="1" customHeight="1" outlineLevel="1">
      <c r="B286" s="367" t="str">
        <f>IF(Contents!$B$2=2,"Murmansk Region","Мурманская область")</f>
        <v>Мурманская область</v>
      </c>
      <c r="C286" s="53" t="str">
        <f>IF(Contents!$B$2=2,"people"," человек")</f>
        <v xml:space="preserve"> человек</v>
      </c>
      <c r="D286" s="46" t="s">
        <v>185</v>
      </c>
      <c r="E286" s="46" t="s">
        <v>185</v>
      </c>
      <c r="F286" s="46">
        <v>66</v>
      </c>
      <c r="G286" s="46">
        <v>43</v>
      </c>
      <c r="H286" s="46">
        <v>114</v>
      </c>
      <c r="I286" s="38">
        <v>62</v>
      </c>
      <c r="J286" s="38">
        <v>236</v>
      </c>
      <c r="K286" s="38">
        <v>342</v>
      </c>
      <c r="L286" s="38">
        <v>244</v>
      </c>
      <c r="M286" s="38">
        <v>146</v>
      </c>
      <c r="N286" s="89">
        <v>70</v>
      </c>
      <c r="O286" s="879"/>
      <c r="P286" s="558" t="str">
        <f>IF(Contents!$B$2=2,"Yes","Да")</f>
        <v>Да</v>
      </c>
      <c r="Q286" s="824"/>
      <c r="R286" s="39"/>
      <c r="S286" s="39"/>
      <c r="T286" s="39"/>
      <c r="U286" s="39"/>
      <c r="W286" s="933">
        <v>1</v>
      </c>
      <c r="Y286" s="595"/>
    </row>
    <row r="287" spans="2:25" ht="22.5" hidden="1" customHeight="1" outlineLevel="1">
      <c r="B287" s="367" t="str">
        <f>IF(Contents!$B$2=2,"Khanty-Mansiysk Autonomous Region","Ханты-Мансийский автономный округ")</f>
        <v>Ханты-Мансийский автономный округ</v>
      </c>
      <c r="C287" s="53" t="str">
        <f>IF(Contents!$B$2=2,"people"," человек")</f>
        <v xml:space="preserve"> человек</v>
      </c>
      <c r="D287" s="46" t="s">
        <v>185</v>
      </c>
      <c r="E287" s="46" t="s">
        <v>185</v>
      </c>
      <c r="F287" s="46">
        <v>0</v>
      </c>
      <c r="G287" s="46">
        <v>2</v>
      </c>
      <c r="H287" s="46">
        <v>7</v>
      </c>
      <c r="I287" s="38">
        <v>2</v>
      </c>
      <c r="J287" s="38">
        <v>9</v>
      </c>
      <c r="K287" s="38">
        <v>6</v>
      </c>
      <c r="L287" s="38">
        <v>4</v>
      </c>
      <c r="M287" s="38">
        <v>3</v>
      </c>
      <c r="N287" s="89">
        <v>1</v>
      </c>
      <c r="O287" s="879"/>
      <c r="P287" s="558" t="str">
        <f>IF(Contents!$B$2=2,"Yes","Да")</f>
        <v>Да</v>
      </c>
      <c r="Q287" s="824"/>
      <c r="R287" s="39"/>
      <c r="S287" s="39"/>
      <c r="T287" s="39"/>
      <c r="U287" s="39"/>
      <c r="W287" s="933">
        <v>1</v>
      </c>
      <c r="Y287" s="595"/>
    </row>
    <row r="288" spans="2:25" ht="22.5" hidden="1" customHeight="1" outlineLevel="1">
      <c r="B288" s="367" t="str">
        <f>IF(Contents!$B$2=2,"Perm Territory","Пермский край")</f>
        <v>Пермский край</v>
      </c>
      <c r="C288" s="53" t="str">
        <f>IF(Contents!$B$2=2,"people"," человек")</f>
        <v xml:space="preserve"> человек</v>
      </c>
      <c r="D288" s="46" t="s">
        <v>185</v>
      </c>
      <c r="E288" s="46" t="s">
        <v>185</v>
      </c>
      <c r="F288" s="46">
        <v>0</v>
      </c>
      <c r="G288" s="46">
        <v>1</v>
      </c>
      <c r="H288" s="46">
        <v>0</v>
      </c>
      <c r="I288" s="38">
        <v>1</v>
      </c>
      <c r="J288" s="38">
        <v>2</v>
      </c>
      <c r="K288" s="38">
        <v>0</v>
      </c>
      <c r="L288" s="38">
        <v>0</v>
      </c>
      <c r="M288" s="38">
        <v>0</v>
      </c>
      <c r="N288" s="89">
        <v>0</v>
      </c>
      <c r="O288" s="879"/>
      <c r="P288" s="558" t="str">
        <f>IF(Contents!$B$2=2,"Yes","Да")</f>
        <v>Да</v>
      </c>
      <c r="Q288" s="824"/>
      <c r="R288" s="39"/>
      <c r="S288" s="39"/>
      <c r="T288" s="39"/>
      <c r="U288" s="39"/>
      <c r="W288" s="933">
        <v>1</v>
      </c>
      <c r="Y288" s="595"/>
    </row>
    <row r="289" spans="2:25" ht="22.5" hidden="1" customHeight="1" outlineLevel="1">
      <c r="B289" s="367" t="str">
        <f>IF(Contents!$B$2=2,"Astrakhan Region","Астраханская область")</f>
        <v>Астраханская область</v>
      </c>
      <c r="C289" s="53" t="str">
        <f>IF(Contents!$B$2=2,"people"," человек")</f>
        <v xml:space="preserve"> человек</v>
      </c>
      <c r="D289" s="46" t="s">
        <v>185</v>
      </c>
      <c r="E289" s="46" t="s">
        <v>185</v>
      </c>
      <c r="F289" s="46">
        <v>0</v>
      </c>
      <c r="G289" s="46">
        <v>2</v>
      </c>
      <c r="H289" s="46">
        <v>2</v>
      </c>
      <c r="I289" s="38">
        <v>16</v>
      </c>
      <c r="J289" s="38">
        <v>3</v>
      </c>
      <c r="K289" s="38">
        <v>1</v>
      </c>
      <c r="L289" s="38">
        <v>10</v>
      </c>
      <c r="M289" s="38">
        <v>3</v>
      </c>
      <c r="N289" s="89">
        <v>1</v>
      </c>
      <c r="O289" s="879"/>
      <c r="P289" s="558" t="str">
        <f>IF(Contents!$B$2=2,"Yes","Да")</f>
        <v>Да</v>
      </c>
      <c r="Q289" s="824"/>
      <c r="R289" s="39"/>
      <c r="S289" s="39"/>
      <c r="T289" s="39"/>
      <c r="U289" s="39"/>
      <c r="W289" s="933">
        <v>1</v>
      </c>
      <c r="Y289" s="595"/>
    </row>
    <row r="290" spans="2:25" ht="22.5" hidden="1" customHeight="1" outlineLevel="1">
      <c r="B290" s="367" t="str">
        <f>IF(Contents!$B$2=2,"Krasnodar Territory","Краснодарский край")</f>
        <v>Краснодарский край</v>
      </c>
      <c r="C290" s="53" t="str">
        <f>IF(Contents!$B$2=2,"people"," человек")</f>
        <v xml:space="preserve"> человек</v>
      </c>
      <c r="D290" s="46" t="s">
        <v>185</v>
      </c>
      <c r="E290" s="46" t="s">
        <v>185</v>
      </c>
      <c r="F290" s="46">
        <v>0</v>
      </c>
      <c r="G290" s="46">
        <v>2</v>
      </c>
      <c r="H290" s="46">
        <v>2</v>
      </c>
      <c r="I290" s="38">
        <v>2</v>
      </c>
      <c r="J290" s="38">
        <v>0</v>
      </c>
      <c r="K290" s="38">
        <v>2</v>
      </c>
      <c r="L290" s="38">
        <v>2</v>
      </c>
      <c r="M290" s="38">
        <v>0</v>
      </c>
      <c r="N290" s="89">
        <v>0</v>
      </c>
      <c r="O290" s="879"/>
      <c r="P290" s="558" t="str">
        <f>IF(Contents!$B$2=2,"Yes","Да")</f>
        <v>Да</v>
      </c>
      <c r="Q290" s="824"/>
      <c r="R290" s="39"/>
      <c r="S290" s="39"/>
      <c r="T290" s="39"/>
      <c r="U290" s="39"/>
      <c r="W290" s="933">
        <v>1</v>
      </c>
      <c r="Y290" s="595"/>
    </row>
    <row r="291" spans="2:25" ht="22.5" hidden="1" customHeight="1" outlineLevel="1">
      <c r="B291" s="367" t="str">
        <f>IF(Contents!$B$2=2,"Samara Region","Самарская область")</f>
        <v>Самарская область</v>
      </c>
      <c r="C291" s="53" t="str">
        <f>IF(Contents!$B$2=2,"people"," человек")</f>
        <v xml:space="preserve"> человек</v>
      </c>
      <c r="D291" s="46" t="s">
        <v>185</v>
      </c>
      <c r="E291" s="46" t="s">
        <v>185</v>
      </c>
      <c r="F291" s="46">
        <v>1</v>
      </c>
      <c r="G291" s="46">
        <v>0</v>
      </c>
      <c r="H291" s="46">
        <v>3</v>
      </c>
      <c r="I291" s="38">
        <v>10</v>
      </c>
      <c r="J291" s="38">
        <v>10</v>
      </c>
      <c r="K291" s="38">
        <v>2</v>
      </c>
      <c r="L291" s="38">
        <v>6</v>
      </c>
      <c r="M291" s="38">
        <v>16</v>
      </c>
      <c r="N291" s="89">
        <v>4</v>
      </c>
      <c r="O291" s="879"/>
      <c r="P291" s="558" t="str">
        <f>IF(Contents!$B$2=2,"Yes","Да")</f>
        <v>Да</v>
      </c>
      <c r="Q291" s="824"/>
      <c r="R291" s="39"/>
      <c r="S291" s="39"/>
      <c r="T291" s="39"/>
      <c r="U291" s="39"/>
      <c r="W291" s="933">
        <v>1</v>
      </c>
      <c r="Y291" s="595"/>
    </row>
    <row r="292" spans="2:25" ht="22.5" hidden="1" customHeight="1" outlineLevel="1">
      <c r="B292" s="367" t="str">
        <f>IF(Contents!$B$2=2,"Arkhangelsk Region","Архангельская область")</f>
        <v>Архангельская область</v>
      </c>
      <c r="C292" s="53" t="str">
        <f>IF(Contents!$B$2=2,"people"," человек")</f>
        <v xml:space="preserve"> человек</v>
      </c>
      <c r="D292" s="46" t="s">
        <v>185</v>
      </c>
      <c r="E292" s="46" t="s">
        <v>185</v>
      </c>
      <c r="F292" s="46">
        <v>0</v>
      </c>
      <c r="G292" s="46">
        <v>0</v>
      </c>
      <c r="H292" s="46">
        <v>0</v>
      </c>
      <c r="I292" s="38">
        <v>3</v>
      </c>
      <c r="J292" s="38">
        <v>1</v>
      </c>
      <c r="K292" s="38">
        <v>0</v>
      </c>
      <c r="L292" s="38">
        <v>2</v>
      </c>
      <c r="M292" s="38">
        <v>0</v>
      </c>
      <c r="N292" s="89">
        <v>0</v>
      </c>
      <c r="O292" s="879"/>
      <c r="P292" s="558" t="str">
        <f>IF(Contents!$B$2=2,"Yes","Да")</f>
        <v>Да</v>
      </c>
      <c r="Q292" s="824"/>
      <c r="R292" s="39"/>
      <c r="S292" s="39"/>
      <c r="T292" s="39"/>
      <c r="U292" s="39"/>
      <c r="W292" s="933">
        <v>1</v>
      </c>
      <c r="Y292" s="595"/>
    </row>
    <row r="293" spans="2:25" ht="22.5" hidden="1" customHeight="1" outlineLevel="1">
      <c r="B293" s="367" t="str">
        <f>IF(Contents!$B$2=2,"Kamchatka Territory","Камчатский край")</f>
        <v>Камчатский край</v>
      </c>
      <c r="C293" s="53" t="str">
        <f>IF(Contents!$B$2=2,"people"," человек")</f>
        <v xml:space="preserve"> человек</v>
      </c>
      <c r="D293" s="46" t="s">
        <v>185</v>
      </c>
      <c r="E293" s="46" t="s">
        <v>185</v>
      </c>
      <c r="F293" s="46">
        <v>0</v>
      </c>
      <c r="G293" s="46">
        <v>2</v>
      </c>
      <c r="H293" s="46">
        <v>1</v>
      </c>
      <c r="I293" s="38">
        <v>1</v>
      </c>
      <c r="J293" s="38">
        <v>6</v>
      </c>
      <c r="K293" s="38">
        <v>13</v>
      </c>
      <c r="L293" s="38">
        <v>48</v>
      </c>
      <c r="M293" s="38">
        <v>31</v>
      </c>
      <c r="N293" s="89">
        <v>50</v>
      </c>
      <c r="O293" s="879"/>
      <c r="P293" s="558" t="str">
        <f>IF(Contents!$B$2=2,"Yes","Да")</f>
        <v>Да</v>
      </c>
      <c r="Q293" s="824"/>
      <c r="R293" s="39"/>
      <c r="S293" s="39"/>
      <c r="T293" s="39"/>
      <c r="U293" s="39"/>
      <c r="W293" s="933">
        <v>1</v>
      </c>
      <c r="Y293" s="595"/>
    </row>
    <row r="294" spans="2:25" ht="22.5" hidden="1" customHeight="1" outlineLevel="1">
      <c r="B294" s="367" t="str">
        <f>IF(Contents!$B$2=2,"Republic of Bashkortostan","Республика Башкортостан")</f>
        <v>Республика Башкортостан</v>
      </c>
      <c r="C294" s="53" t="str">
        <f>IF(Contents!$B$2=2,"people"," человек")</f>
        <v xml:space="preserve"> человек</v>
      </c>
      <c r="D294" s="46" t="s">
        <v>185</v>
      </c>
      <c r="E294" s="46" t="s">
        <v>185</v>
      </c>
      <c r="F294" s="46">
        <v>0</v>
      </c>
      <c r="G294" s="46">
        <v>0</v>
      </c>
      <c r="H294" s="46">
        <v>9</v>
      </c>
      <c r="I294" s="38">
        <v>6</v>
      </c>
      <c r="J294" s="38">
        <v>5</v>
      </c>
      <c r="K294" s="38">
        <v>6</v>
      </c>
      <c r="L294" s="38">
        <v>6</v>
      </c>
      <c r="M294" s="38">
        <v>3</v>
      </c>
      <c r="N294" s="89">
        <v>1</v>
      </c>
      <c r="O294" s="879"/>
      <c r="P294" s="558" t="str">
        <f>IF(Contents!$B$2=2,"Yes","Да")</f>
        <v>Да</v>
      </c>
      <c r="Q294" s="824"/>
      <c r="R294" s="39"/>
      <c r="S294" s="39"/>
      <c r="T294" s="39"/>
      <c r="U294" s="39"/>
      <c r="W294" s="933">
        <v>1</v>
      </c>
      <c r="Y294" s="595"/>
    </row>
    <row r="295" spans="2:25" ht="22.5" hidden="1" customHeight="1" outlineLevel="1">
      <c r="B295" s="367" t="str">
        <f>IF(Contents!$B$2=2,"Novosibirsk Region","Новосибирская область")</f>
        <v>Новосибирская область</v>
      </c>
      <c r="C295" s="53" t="str">
        <f>IF(Contents!$B$2=2,"people"," человек")</f>
        <v xml:space="preserve"> человек</v>
      </c>
      <c r="D295" s="46" t="s">
        <v>185</v>
      </c>
      <c r="E295" s="46" t="s">
        <v>185</v>
      </c>
      <c r="F295" s="46">
        <v>0</v>
      </c>
      <c r="G295" s="46">
        <v>0</v>
      </c>
      <c r="H295" s="46">
        <v>1</v>
      </c>
      <c r="I295" s="38">
        <v>6</v>
      </c>
      <c r="J295" s="38">
        <v>0</v>
      </c>
      <c r="K295" s="38">
        <v>0</v>
      </c>
      <c r="L295" s="38">
        <v>0</v>
      </c>
      <c r="M295" s="38">
        <v>0</v>
      </c>
      <c r="N295" s="89">
        <v>0</v>
      </c>
      <c r="O295" s="879"/>
      <c r="P295" s="558" t="str">
        <f>IF(Contents!$B$2=2,"Yes","Да")</f>
        <v>Да</v>
      </c>
      <c r="Q295" s="824"/>
      <c r="R295" s="39"/>
      <c r="S295" s="39"/>
      <c r="T295" s="39"/>
      <c r="U295" s="39"/>
      <c r="W295" s="933">
        <v>1</v>
      </c>
      <c r="Y295" s="595"/>
    </row>
    <row r="296" spans="2:25" ht="22.5" hidden="1" customHeight="1" outlineLevel="1">
      <c r="B296" s="367" t="str">
        <f>IF(Contents!$B$2=2,"Sverdlovsk Region","Свердловская область")</f>
        <v>Свердловская область</v>
      </c>
      <c r="C296" s="53" t="str">
        <f>IF(Contents!$B$2=2,"people"," человек")</f>
        <v xml:space="preserve"> человек</v>
      </c>
      <c r="D296" s="46" t="s">
        <v>185</v>
      </c>
      <c r="E296" s="46" t="s">
        <v>185</v>
      </c>
      <c r="F296" s="38">
        <v>0</v>
      </c>
      <c r="G296" s="38">
        <v>0</v>
      </c>
      <c r="H296" s="38">
        <v>0</v>
      </c>
      <c r="I296" s="38">
        <v>1</v>
      </c>
      <c r="J296" s="38">
        <v>5</v>
      </c>
      <c r="K296" s="38">
        <v>4</v>
      </c>
      <c r="L296" s="38">
        <v>3</v>
      </c>
      <c r="M296" s="38">
        <v>0</v>
      </c>
      <c r="N296" s="89">
        <v>0</v>
      </c>
      <c r="O296" s="879"/>
      <c r="P296" s="558" t="str">
        <f>IF(Contents!$B$2=2,"Yes","Да")</f>
        <v>Да</v>
      </c>
      <c r="Q296" s="824"/>
      <c r="R296" s="39"/>
      <c r="S296" s="39"/>
      <c r="T296" s="39"/>
      <c r="U296" s="39"/>
      <c r="W296" s="933">
        <v>1</v>
      </c>
      <c r="Y296" s="595"/>
    </row>
    <row r="297" spans="2:25" ht="22.5" hidden="1" customHeight="1" outlineLevel="1">
      <c r="B297" s="367" t="str">
        <f>IF(Contents!$B$2=2,"Tver region","Тверская область")</f>
        <v>Тверская область</v>
      </c>
      <c r="C297" s="53" t="str">
        <f>IF(Contents!$B$2=2,"people"," человек")</f>
        <v xml:space="preserve"> человек</v>
      </c>
      <c r="D297" s="46" t="s">
        <v>185</v>
      </c>
      <c r="E297" s="46" t="s">
        <v>185</v>
      </c>
      <c r="F297" s="38">
        <v>0</v>
      </c>
      <c r="G297" s="38">
        <v>0</v>
      </c>
      <c r="H297" s="38">
        <v>0</v>
      </c>
      <c r="I297" s="38">
        <v>0</v>
      </c>
      <c r="J297" s="38">
        <v>7</v>
      </c>
      <c r="K297" s="38">
        <v>1</v>
      </c>
      <c r="L297" s="38">
        <v>1</v>
      </c>
      <c r="M297" s="38">
        <v>1</v>
      </c>
      <c r="N297" s="89">
        <v>3</v>
      </c>
      <c r="O297" s="879"/>
      <c r="P297" s="558" t="str">
        <f>IF(Contents!$B$2=2,"Yes","Да")</f>
        <v>Да</v>
      </c>
      <c r="Q297" s="824"/>
      <c r="R297" s="39"/>
      <c r="S297" s="39"/>
      <c r="T297" s="39"/>
      <c r="U297" s="39"/>
      <c r="W297" s="933">
        <v>1</v>
      </c>
      <c r="Y297" s="595"/>
    </row>
    <row r="298" spans="2:25" ht="22.5" hidden="1" customHeight="1" outlineLevel="1">
      <c r="B298" s="367" t="str">
        <f>IF(Contents!$B$2=2,"Tula Region","Тульская область")</f>
        <v>Тульская область</v>
      </c>
      <c r="C298" s="53" t="str">
        <f>IF(Contents!$B$2=2,"people"," человек")</f>
        <v xml:space="preserve"> человек</v>
      </c>
      <c r="D298" s="46" t="s">
        <v>185</v>
      </c>
      <c r="E298" s="46" t="s">
        <v>185</v>
      </c>
      <c r="F298" s="38">
        <v>0</v>
      </c>
      <c r="G298" s="38">
        <v>0</v>
      </c>
      <c r="H298" s="38">
        <v>0</v>
      </c>
      <c r="I298" s="38">
        <v>0</v>
      </c>
      <c r="J298" s="38">
        <v>2</v>
      </c>
      <c r="K298" s="38">
        <v>0</v>
      </c>
      <c r="L298" s="38">
        <v>2</v>
      </c>
      <c r="M298" s="38">
        <v>3</v>
      </c>
      <c r="N298" s="89">
        <v>3</v>
      </c>
      <c r="O298" s="879"/>
      <c r="P298" s="558" t="str">
        <f>IF(Contents!$B$2=2,"Yes","Да")</f>
        <v>Да</v>
      </c>
      <c r="Q298" s="824"/>
      <c r="R298" s="39"/>
      <c r="S298" s="39"/>
      <c r="T298" s="39"/>
      <c r="U298" s="39"/>
      <c r="W298" s="933">
        <v>1</v>
      </c>
      <c r="Y298" s="595"/>
    </row>
    <row r="299" spans="2:25" ht="22.5" hidden="1" customHeight="1" outlineLevel="1">
      <c r="B299" s="367" t="str">
        <f>IF(Contents!$B$2=2,"Republic of Tatarstan","Республика Татарстан")</f>
        <v>Республика Татарстан</v>
      </c>
      <c r="C299" s="53" t="str">
        <f>IF(Contents!$B$2=2,"people"," человек")</f>
        <v xml:space="preserve"> человек</v>
      </c>
      <c r="D299" s="46" t="s">
        <v>185</v>
      </c>
      <c r="E299" s="46" t="s">
        <v>185</v>
      </c>
      <c r="F299" s="38">
        <v>0</v>
      </c>
      <c r="G299" s="38">
        <v>0</v>
      </c>
      <c r="H299" s="38">
        <v>0</v>
      </c>
      <c r="I299" s="38">
        <v>0</v>
      </c>
      <c r="J299" s="38">
        <v>6</v>
      </c>
      <c r="K299" s="38">
        <v>1</v>
      </c>
      <c r="L299" s="38">
        <v>1</v>
      </c>
      <c r="M299" s="38">
        <v>1</v>
      </c>
      <c r="N299" s="89">
        <v>0</v>
      </c>
      <c r="O299" s="879"/>
      <c r="P299" s="558" t="str">
        <f>IF(Contents!$B$2=2,"Yes","Да")</f>
        <v>Да</v>
      </c>
      <c r="Q299" s="824"/>
      <c r="R299" s="39"/>
      <c r="S299" s="39"/>
      <c r="T299" s="39"/>
      <c r="U299" s="39"/>
      <c r="W299" s="933">
        <v>1</v>
      </c>
      <c r="Y299" s="595"/>
    </row>
    <row r="300" spans="2:25" ht="22.5" hidden="1" customHeight="1" outlineLevel="1">
      <c r="B300" s="367" t="str">
        <f>IF(Contents!$B$2=2,"Vladimir Region","Владимирская область")</f>
        <v>Владимирская область</v>
      </c>
      <c r="C300" s="53" t="str">
        <f>IF(Contents!$B$2=2,"people"," человек")</f>
        <v xml:space="preserve"> человек</v>
      </c>
      <c r="D300" s="46" t="s">
        <v>185</v>
      </c>
      <c r="E300" s="46" t="s">
        <v>185</v>
      </c>
      <c r="F300" s="38">
        <v>0</v>
      </c>
      <c r="G300" s="38">
        <v>0</v>
      </c>
      <c r="H300" s="38">
        <v>0</v>
      </c>
      <c r="I300" s="38">
        <v>0</v>
      </c>
      <c r="J300" s="38">
        <v>0</v>
      </c>
      <c r="K300" s="38">
        <v>10</v>
      </c>
      <c r="L300" s="38">
        <v>0</v>
      </c>
      <c r="M300" s="38">
        <v>0</v>
      </c>
      <c r="N300" s="89">
        <v>7</v>
      </c>
      <c r="O300" s="879"/>
      <c r="P300" s="558" t="str">
        <f>IF(Contents!$B$2=2,"Yes","Да")</f>
        <v>Да</v>
      </c>
      <c r="Q300" s="824"/>
      <c r="R300" s="39"/>
      <c r="S300" s="39"/>
      <c r="T300" s="39"/>
      <c r="U300" s="39"/>
      <c r="W300" s="933">
        <v>1</v>
      </c>
      <c r="Y300" s="595"/>
    </row>
    <row r="301" spans="2:25" ht="22.5" hidden="1" customHeight="1" outlineLevel="1">
      <c r="B301" s="367" t="str">
        <f>IF(Contents!$B$2=2,"Penza Region","Пензенская область")</f>
        <v>Пензенская область</v>
      </c>
      <c r="C301" s="53" t="str">
        <f>IF(Contents!$B$2=2,"people"," человек")</f>
        <v xml:space="preserve"> человек</v>
      </c>
      <c r="D301" s="46" t="s">
        <v>185</v>
      </c>
      <c r="E301" s="46" t="s">
        <v>185</v>
      </c>
      <c r="F301" s="38">
        <v>0</v>
      </c>
      <c r="G301" s="38">
        <v>0</v>
      </c>
      <c r="H301" s="38">
        <v>0</v>
      </c>
      <c r="I301" s="38">
        <v>0</v>
      </c>
      <c r="J301" s="38">
        <v>0</v>
      </c>
      <c r="K301" s="38">
        <v>0</v>
      </c>
      <c r="L301" s="38">
        <v>6</v>
      </c>
      <c r="M301" s="38">
        <v>2</v>
      </c>
      <c r="N301" s="89">
        <v>1</v>
      </c>
      <c r="O301" s="879"/>
      <c r="P301" s="558" t="str">
        <f>IF(Contents!$B$2=2,"Yes","Да")</f>
        <v>Да</v>
      </c>
      <c r="Q301" s="824"/>
      <c r="R301" s="39"/>
      <c r="S301" s="39"/>
      <c r="T301" s="39"/>
      <c r="U301" s="39"/>
      <c r="W301" s="933">
        <v>1</v>
      </c>
      <c r="Y301" s="595"/>
    </row>
    <row r="302" spans="2:25" ht="22.5" hidden="1" customHeight="1" outlineLevel="1">
      <c r="B302" s="368" t="str">
        <f>IF(Contents!$B$2=2,"Nizhny Novgorod region","Нижегородская область")</f>
        <v>Нижегородская область</v>
      </c>
      <c r="C302" s="53" t="str">
        <f>IF(Contents!$B$2=2,"people"," человек")</f>
        <v xml:space="preserve"> человек</v>
      </c>
      <c r="D302" s="81" t="s">
        <v>185</v>
      </c>
      <c r="E302" s="81" t="s">
        <v>185</v>
      </c>
      <c r="F302" s="81">
        <v>0</v>
      </c>
      <c r="G302" s="81">
        <v>0</v>
      </c>
      <c r="H302" s="81">
        <v>0</v>
      </c>
      <c r="I302" s="81">
        <v>0</v>
      </c>
      <c r="J302" s="81">
        <v>0</v>
      </c>
      <c r="K302" s="81">
        <v>0</v>
      </c>
      <c r="L302" s="81">
        <v>0</v>
      </c>
      <c r="M302" s="81">
        <v>6</v>
      </c>
      <c r="N302" s="89">
        <v>0</v>
      </c>
      <c r="O302" s="879"/>
      <c r="P302" s="558" t="str">
        <f>IF(Contents!$B$2=2,"Yes","Да")</f>
        <v>Да</v>
      </c>
      <c r="Q302" s="824"/>
      <c r="R302" s="39"/>
      <c r="S302" s="39"/>
      <c r="T302" s="39"/>
      <c r="U302" s="39"/>
      <c r="W302" s="933">
        <v>1</v>
      </c>
      <c r="Y302" s="595"/>
    </row>
    <row r="303" spans="2:25" ht="22.5" hidden="1" customHeight="1" outlineLevel="1">
      <c r="B303" s="368" t="str">
        <f>IF(Contents!$B$2=2,"Primorsky Krai","Приморский край")</f>
        <v>Приморский край</v>
      </c>
      <c r="C303" s="53" t="str">
        <f>IF(Contents!$B$2=2,"people"," человек")</f>
        <v xml:space="preserve"> человек</v>
      </c>
      <c r="D303" s="81" t="s">
        <v>185</v>
      </c>
      <c r="E303" s="81" t="s">
        <v>185</v>
      </c>
      <c r="F303" s="81">
        <v>0</v>
      </c>
      <c r="G303" s="81">
        <v>0</v>
      </c>
      <c r="H303" s="81">
        <v>0</v>
      </c>
      <c r="I303" s="81">
        <v>0</v>
      </c>
      <c r="J303" s="81">
        <v>0</v>
      </c>
      <c r="K303" s="81">
        <v>0</v>
      </c>
      <c r="L303" s="81">
        <v>0</v>
      </c>
      <c r="M303" s="81">
        <v>42</v>
      </c>
      <c r="N303" s="89">
        <v>1</v>
      </c>
      <c r="O303" s="879"/>
      <c r="P303" s="558" t="str">
        <f>IF(Contents!$B$2=2,"Yes","Да")</f>
        <v>Да</v>
      </c>
      <c r="Q303" s="824"/>
      <c r="R303" s="39"/>
      <c r="S303" s="39"/>
      <c r="T303" s="39"/>
      <c r="U303" s="39"/>
      <c r="W303" s="933">
        <v>1</v>
      </c>
      <c r="Y303" s="595"/>
    </row>
    <row r="304" spans="2:25" ht="22.5" hidden="1" customHeight="1" outlineLevel="1">
      <c r="B304" s="368" t="str">
        <f>IF(Contents!$B$2=2,"Republic of Mari El","Республика Марий Эл")</f>
        <v>Республика Марий Эл</v>
      </c>
      <c r="C304" s="53" t="str">
        <f>IF(Contents!$B$2=2,"people"," человек")</f>
        <v xml:space="preserve"> человек</v>
      </c>
      <c r="D304" s="46" t="s">
        <v>185</v>
      </c>
      <c r="E304" s="46" t="s">
        <v>185</v>
      </c>
      <c r="F304" s="46">
        <v>0</v>
      </c>
      <c r="G304" s="46">
        <v>0</v>
      </c>
      <c r="H304" s="46">
        <v>0</v>
      </c>
      <c r="I304" s="46">
        <v>1</v>
      </c>
      <c r="J304" s="46">
        <v>0</v>
      </c>
      <c r="K304" s="91">
        <v>0</v>
      </c>
      <c r="L304" s="91">
        <v>0</v>
      </c>
      <c r="M304" s="91">
        <v>0</v>
      </c>
      <c r="N304" s="89">
        <v>0</v>
      </c>
      <c r="O304" s="879"/>
      <c r="P304" s="558" t="str">
        <f>IF(Contents!$B$2=2,"Yes","Да")</f>
        <v>Да</v>
      </c>
      <c r="Q304" s="824"/>
      <c r="R304" s="39"/>
      <c r="S304" s="39"/>
      <c r="T304" s="39"/>
      <c r="U304" s="39"/>
      <c r="W304" s="933">
        <v>1</v>
      </c>
      <c r="Y304" s="595"/>
    </row>
    <row r="305" spans="2:25" ht="22.35" hidden="1" customHeight="1" outlineLevel="1">
      <c r="B305" s="368" t="str">
        <f>IF(Contents!$B$2=2,"Chuvash Republic","Чувашская республика")</f>
        <v>Чувашская республика</v>
      </c>
      <c r="C305" s="53" t="str">
        <f>IF(Contents!$B$2=2,"people"," человек")</f>
        <v xml:space="preserve"> человек</v>
      </c>
      <c r="D305" s="46" t="s">
        <v>185</v>
      </c>
      <c r="E305" s="46" t="s">
        <v>185</v>
      </c>
      <c r="F305" s="90" t="s">
        <v>185</v>
      </c>
      <c r="G305" s="90" t="s">
        <v>185</v>
      </c>
      <c r="H305" s="90" t="s">
        <v>185</v>
      </c>
      <c r="I305" s="46" t="s">
        <v>185</v>
      </c>
      <c r="J305" s="46" t="s">
        <v>185</v>
      </c>
      <c r="K305" s="46" t="s">
        <v>185</v>
      </c>
      <c r="L305" s="46" t="s">
        <v>185</v>
      </c>
      <c r="M305" s="46" t="s">
        <v>185</v>
      </c>
      <c r="N305" s="89">
        <v>9</v>
      </c>
      <c r="O305" s="879"/>
      <c r="P305" s="558" t="str">
        <f>IF(Contents!$B$2=2,"Yes","Да")</f>
        <v>Да</v>
      </c>
      <c r="Q305" s="824"/>
      <c r="R305" s="39"/>
      <c r="S305" s="39"/>
      <c r="T305" s="39"/>
      <c r="U305" s="39"/>
      <c r="W305" s="933">
        <v>1</v>
      </c>
      <c r="Y305" s="595"/>
    </row>
    <row r="306" spans="2:25" ht="22.5" customHeight="1" collapsed="1">
      <c r="B306" s="78" t="str">
        <f>IF(Contents!$B$2=2,"Other countries","Прочие страны")</f>
        <v>Прочие страны</v>
      </c>
      <c r="C306" s="53" t="str">
        <f>IF(Contents!$B$2=2,"people"," человек")</f>
        <v xml:space="preserve"> человек</v>
      </c>
      <c r="D306" s="46" t="s">
        <v>185</v>
      </c>
      <c r="E306" s="46" t="s">
        <v>185</v>
      </c>
      <c r="F306" s="46">
        <v>33</v>
      </c>
      <c r="G306" s="46">
        <v>35</v>
      </c>
      <c r="H306" s="46">
        <v>60</v>
      </c>
      <c r="I306" s="38">
        <v>39</v>
      </c>
      <c r="J306" s="38">
        <v>46</v>
      </c>
      <c r="K306" s="38">
        <v>26</v>
      </c>
      <c r="L306" s="38">
        <v>36</v>
      </c>
      <c r="M306" s="38">
        <v>35</v>
      </c>
      <c r="N306" s="89">
        <v>12</v>
      </c>
      <c r="O306" s="879"/>
      <c r="P306" s="558" t="str">
        <f>IF(Contents!$B$2=2,"Yes","Да")</f>
        <v>Да</v>
      </c>
      <c r="Q306" s="824"/>
      <c r="R306" s="39"/>
      <c r="S306" s="39"/>
      <c r="T306" s="39"/>
      <c r="U306" s="39"/>
      <c r="W306" s="933">
        <v>1</v>
      </c>
      <c r="Y306" s="595"/>
    </row>
    <row r="307" spans="2:25">
      <c r="B307" s="386"/>
      <c r="C307" s="53"/>
      <c r="D307" s="46"/>
      <c r="E307" s="46"/>
      <c r="F307" s="377"/>
      <c r="G307" s="377"/>
      <c r="H307" s="377"/>
      <c r="I307" s="377"/>
      <c r="J307" s="377"/>
      <c r="K307" s="377"/>
      <c r="L307" s="377"/>
      <c r="M307" s="377"/>
      <c r="N307" s="377"/>
      <c r="O307" s="38"/>
      <c r="P307" s="558"/>
      <c r="Q307" s="38"/>
      <c r="R307" s="535"/>
      <c r="S307" s="535"/>
      <c r="T307" s="535"/>
      <c r="U307" s="39"/>
    </row>
    <row r="308" spans="2:25" ht="20.100000000000001" customHeight="1">
      <c r="B308" s="45" t="str">
        <f>IF(Contents!$B$2=2,"Social support for employees","Социальная поддержка работников")</f>
        <v>Социальная поддержка работников</v>
      </c>
      <c r="C308" s="105"/>
      <c r="D308" s="106"/>
      <c r="E308" s="106"/>
      <c r="F308" s="106"/>
      <c r="G308" s="106"/>
      <c r="H308" s="106"/>
      <c r="I308" s="363"/>
      <c r="J308" s="363"/>
      <c r="K308" s="363"/>
      <c r="L308" s="363"/>
      <c r="M308" s="363"/>
      <c r="N308" s="363"/>
      <c r="O308" s="40"/>
      <c r="P308" s="558"/>
      <c r="Q308" s="40"/>
      <c r="R308" s="39"/>
      <c r="S308" s="39"/>
      <c r="T308" s="39"/>
      <c r="U308" s="39"/>
    </row>
    <row r="309" spans="2:25" ht="22.5" customHeight="1">
      <c r="B309" s="371" t="str">
        <f>IF(Contents!$B$2=2,"Support for trade unions","Поддержка профсоюзных организаций")</f>
        <v>Поддержка профсоюзных организаций</v>
      </c>
      <c r="C309" s="49"/>
      <c r="D309" s="372"/>
      <c r="E309" s="372"/>
      <c r="F309" s="372"/>
      <c r="G309" s="372"/>
      <c r="H309" s="372"/>
      <c r="I309" s="379"/>
      <c r="J309" s="372"/>
      <c r="K309" s="372"/>
      <c r="L309" s="372"/>
      <c r="M309" s="372"/>
      <c r="N309" s="372"/>
      <c r="O309" s="37"/>
      <c r="P309" s="558"/>
      <c r="Q309" s="37"/>
      <c r="R309" s="39"/>
      <c r="S309" s="39"/>
      <c r="T309" s="39"/>
      <c r="U309" s="39"/>
    </row>
    <row r="310" spans="2:25" ht="22.5" customHeight="1">
      <c r="B310" s="387" t="str">
        <f>IF(Contents!$B$2=2,"Allocations to support trade unions","Отчисления средств на поддержку профсоюзов")</f>
        <v>Отчисления средств на поддержку профсоюзов</v>
      </c>
      <c r="C310" s="388" t="str">
        <f>IF(Contents!$B$2=2,"RR mln","млн руб.")</f>
        <v>млн руб.</v>
      </c>
      <c r="D310" s="389">
        <v>4.5999999999999996</v>
      </c>
      <c r="E310" s="389">
        <v>4.9000000000000004</v>
      </c>
      <c r="F310" s="389">
        <v>5.0999999999999996</v>
      </c>
      <c r="G310" s="389">
        <v>5.2</v>
      </c>
      <c r="H310" s="389">
        <v>5.2</v>
      </c>
      <c r="I310" s="378">
        <v>4.4000000000000004</v>
      </c>
      <c r="J310" s="378">
        <v>5.2</v>
      </c>
      <c r="K310" s="378">
        <v>6.8</v>
      </c>
      <c r="L310" s="378">
        <v>7.5</v>
      </c>
      <c r="M310" s="378">
        <v>7.5</v>
      </c>
      <c r="N310" s="97">
        <v>8.4</v>
      </c>
      <c r="O310" s="394"/>
      <c r="P310" s="558"/>
      <c r="Q310" s="394"/>
      <c r="R310" s="39"/>
      <c r="S310" s="39"/>
      <c r="T310" s="39"/>
      <c r="U310" s="39"/>
      <c r="W310" s="933">
        <v>2</v>
      </c>
    </row>
    <row r="311" spans="2:25" ht="22.5" customHeight="1">
      <c r="B311" s="387" t="str">
        <f>IF(Contents!$B$2=2,"Membership in trade unions","Членство в профсоюзах")</f>
        <v>Членство в профсоюзах</v>
      </c>
      <c r="C311" s="53" t="s">
        <v>0</v>
      </c>
      <c r="D311" s="46" t="s">
        <v>185</v>
      </c>
      <c r="E311" s="46" t="s">
        <v>185</v>
      </c>
      <c r="F311" s="46">
        <v>48</v>
      </c>
      <c r="G311" s="46">
        <v>59</v>
      </c>
      <c r="H311" s="46">
        <v>62</v>
      </c>
      <c r="I311" s="38">
        <v>59</v>
      </c>
      <c r="J311" s="46">
        <v>62</v>
      </c>
      <c r="K311" s="46">
        <v>63</v>
      </c>
      <c r="L311" s="46">
        <v>64</v>
      </c>
      <c r="M311" s="46">
        <v>65</v>
      </c>
      <c r="N311" s="104">
        <v>66</v>
      </c>
      <c r="O311" s="869"/>
      <c r="P311" s="558" t="str">
        <f>IF(Contents!$B$2=2,"Yes","Да")</f>
        <v>Да</v>
      </c>
      <c r="Q311" s="193"/>
      <c r="R311" s="39"/>
      <c r="S311" s="39"/>
      <c r="T311" s="39"/>
      <c r="U311" s="39"/>
      <c r="W311" s="933">
        <v>2</v>
      </c>
    </row>
    <row r="312" spans="2:25" ht="22.5" customHeight="1">
      <c r="B312" s="387"/>
      <c r="C312" s="53"/>
      <c r="D312" s="46"/>
      <c r="E312" s="46"/>
      <c r="F312" s="46"/>
      <c r="G312" s="46"/>
      <c r="H312" s="46"/>
      <c r="I312" s="38"/>
      <c r="J312" s="46"/>
      <c r="K312" s="46"/>
      <c r="L312" s="46"/>
      <c r="M312" s="46"/>
      <c r="N312" s="46"/>
      <c r="O312" s="193"/>
      <c r="P312" s="558"/>
      <c r="Q312" s="193"/>
      <c r="R312" s="39"/>
      <c r="S312" s="39"/>
      <c r="T312" s="39"/>
      <c r="U312" s="39"/>
    </row>
    <row r="313" spans="2:25" ht="22.5" customHeight="1">
      <c r="B313" s="390" t="str">
        <f>IF(Contents!$B$2=2,"Percentage of employees under collective bargaining agreements","Доля работников, охваченных коллективным договором")</f>
        <v>Доля работников, охваченных коллективным договором</v>
      </c>
      <c r="C313" s="49" t="s">
        <v>0</v>
      </c>
      <c r="D313" s="372" t="s">
        <v>185</v>
      </c>
      <c r="E313" s="372" t="s">
        <v>185</v>
      </c>
      <c r="F313" s="372">
        <v>97</v>
      </c>
      <c r="G313" s="372">
        <v>97</v>
      </c>
      <c r="H313" s="372">
        <v>93</v>
      </c>
      <c r="I313" s="379">
        <v>92</v>
      </c>
      <c r="J313" s="379">
        <v>91</v>
      </c>
      <c r="K313" s="379">
        <v>90</v>
      </c>
      <c r="L313" s="379">
        <v>89</v>
      </c>
      <c r="M313" s="379">
        <v>90</v>
      </c>
      <c r="N313" s="379">
        <v>83</v>
      </c>
      <c r="O313" s="869"/>
      <c r="P313" s="558" t="s">
        <v>183</v>
      </c>
      <c r="Q313" s="29"/>
      <c r="R313" s="39" t="s">
        <v>130</v>
      </c>
      <c r="S313" s="39"/>
      <c r="T313" s="39"/>
      <c r="U313" s="39" t="str">
        <f>IF(Contents!$B$2=2,"PBCS 33","СОКБ 33")</f>
        <v>СОКБ 33</v>
      </c>
      <c r="W313" s="933">
        <v>2</v>
      </c>
    </row>
    <row r="314" spans="2:25">
      <c r="B314" s="387"/>
      <c r="C314" s="53"/>
      <c r="D314" s="46"/>
      <c r="E314" s="46"/>
      <c r="F314" s="46"/>
      <c r="G314" s="46"/>
      <c r="H314" s="46"/>
      <c r="I314" s="38"/>
      <c r="J314" s="46"/>
      <c r="K314" s="46"/>
      <c r="L314" s="46"/>
      <c r="M314" s="46"/>
      <c r="N314" s="46"/>
      <c r="O314" s="193"/>
      <c r="P314" s="558"/>
      <c r="Q314" s="193"/>
      <c r="R314" s="39"/>
      <c r="S314" s="39"/>
      <c r="T314" s="39"/>
      <c r="U314" s="39"/>
    </row>
    <row r="315" spans="2:25" ht="31.5" customHeight="1">
      <c r="B315" s="390" t="str">
        <f>IF(Contents!$B$2=2,"Expenses on social programs for employees","Расходы на социальные программы для работников")</f>
        <v>Расходы на социальные программы для работников</v>
      </c>
      <c r="C315" s="391" t="str">
        <f>IF(Contents!$B$2=2,"RR bln","млрд руб.")</f>
        <v>млрд руб.</v>
      </c>
      <c r="D315" s="643">
        <v>1.4</v>
      </c>
      <c r="E315" s="643">
        <v>1.3</v>
      </c>
      <c r="F315" s="643">
        <v>1.4</v>
      </c>
      <c r="G315" s="643">
        <v>1.4</v>
      </c>
      <c r="H315" s="643">
        <v>1.8</v>
      </c>
      <c r="I315" s="644">
        <v>1.6</v>
      </c>
      <c r="J315" s="644">
        <v>2.0430000000000001</v>
      </c>
      <c r="K315" s="644">
        <v>2.3439999999999999</v>
      </c>
      <c r="L315" s="644">
        <v>3.6360000000000001</v>
      </c>
      <c r="M315" s="644">
        <v>4.3780000000000001</v>
      </c>
      <c r="N315" s="644">
        <v>4.2380000000000004</v>
      </c>
      <c r="O315" s="879"/>
      <c r="P315" s="558"/>
      <c r="Q315" s="29"/>
      <c r="R315" s="39"/>
      <c r="S315" s="39"/>
      <c r="T315" s="39"/>
      <c r="U315" s="39" t="str">
        <f>IF(Contents!$B$2=2,"PBCS 28","СОКБ 28")</f>
        <v>СОКБ 28</v>
      </c>
      <c r="W315" s="933">
        <v>2</v>
      </c>
    </row>
    <row r="316" spans="2:25" ht="31.5" customHeight="1">
      <c r="B316" s="392" t="str">
        <f>IF(Contents!$B$2=2,"Average expenses per employee (average headcount)","Расходы в среднем на одного работника (на среднесписочную численность)")</f>
        <v>Расходы в среднем на одного работника (на среднесписочную численность)</v>
      </c>
      <c r="C316" s="53" t="str">
        <f>IF(Contents!$B$2=2,"RR th.","тыс. руб.")</f>
        <v>тыс. руб.</v>
      </c>
      <c r="D316" s="46" t="s">
        <v>185</v>
      </c>
      <c r="E316" s="46" t="s">
        <v>185</v>
      </c>
      <c r="F316" s="46">
        <v>120.06758089553263</v>
      </c>
      <c r="G316" s="46">
        <v>107.39490641301012</v>
      </c>
      <c r="H316" s="46">
        <v>125.77737404793515</v>
      </c>
      <c r="I316" s="46">
        <v>100.54040467512881</v>
      </c>
      <c r="J316" s="46">
        <v>115</v>
      </c>
      <c r="K316" s="46">
        <v>123</v>
      </c>
      <c r="L316" s="46">
        <v>181</v>
      </c>
      <c r="M316" s="46">
        <v>207</v>
      </c>
      <c r="N316" s="89">
        <v>187</v>
      </c>
      <c r="P316" s="558"/>
      <c r="Q316" s="29"/>
      <c r="U316" s="39" t="str">
        <f>IF(Contents!$B$2=2,"PBCS 28","СОКБ 28")</f>
        <v>СОКБ 28</v>
      </c>
      <c r="W316" s="933">
        <v>2</v>
      </c>
    </row>
    <row r="317" spans="2:25" ht="39" customHeight="1">
      <c r="B317" s="393" t="str">
        <f>IF(Contents!$B$2=2,"Targeted compensation and social support payments","Программа целевых компенсаций и социально-значимых выплат")</f>
        <v>Программа целевых компенсаций и социально-значимых выплат</v>
      </c>
      <c r="C317" s="53" t="str">
        <f>IF(Contents!$B$2=2,"RR mln","млн руб.")</f>
        <v>млн руб.</v>
      </c>
      <c r="D317" s="46">
        <v>386.3</v>
      </c>
      <c r="E317" s="46">
        <v>573.9</v>
      </c>
      <c r="F317" s="46">
        <v>492.8</v>
      </c>
      <c r="G317" s="46">
        <v>503</v>
      </c>
      <c r="H317" s="46">
        <v>570</v>
      </c>
      <c r="I317" s="38">
        <v>683.7</v>
      </c>
      <c r="J317" s="38">
        <v>803</v>
      </c>
      <c r="K317" s="38">
        <v>847</v>
      </c>
      <c r="L317" s="38">
        <v>1137</v>
      </c>
      <c r="M317" s="38">
        <v>1233</v>
      </c>
      <c r="N317" s="89">
        <v>1394</v>
      </c>
      <c r="O317" s="394"/>
      <c r="P317" s="558" t="str">
        <f>IF(Contents!$B$2=2,"Yes","Да")</f>
        <v>Да</v>
      </c>
      <c r="Q317" s="29"/>
      <c r="R317" s="39"/>
      <c r="S317" s="39"/>
      <c r="T317" s="39"/>
      <c r="U317" s="187"/>
      <c r="W317" s="933">
        <v>2</v>
      </c>
    </row>
    <row r="318" spans="2:25">
      <c r="B318" s="393" t="str">
        <f>IF(Contents!$B$2=2,"Voluntary medical insurance for employees","Добровольное медицинское страхование работников")</f>
        <v>Добровольное медицинское страхование работников</v>
      </c>
      <c r="C318" s="53" t="str">
        <f>IF(Contents!$B$2=2,"RR mln","млн руб.")</f>
        <v>млн руб.</v>
      </c>
      <c r="D318" s="46">
        <v>80</v>
      </c>
      <c r="E318" s="46">
        <v>125</v>
      </c>
      <c r="F318" s="46">
        <v>158</v>
      </c>
      <c r="G318" s="46">
        <v>178</v>
      </c>
      <c r="H318" s="46">
        <v>201</v>
      </c>
      <c r="I318" s="38">
        <v>236</v>
      </c>
      <c r="J318" s="38">
        <v>260</v>
      </c>
      <c r="K318" s="38">
        <v>301</v>
      </c>
      <c r="L318" s="38">
        <v>365</v>
      </c>
      <c r="M318" s="38">
        <v>550</v>
      </c>
      <c r="N318" s="89">
        <v>596</v>
      </c>
      <c r="O318" s="394"/>
      <c r="P318" s="558" t="str">
        <f>IF(Contents!$B$2=2,"Yes","Да")</f>
        <v>Да</v>
      </c>
      <c r="Q318" s="29"/>
      <c r="R318" s="187"/>
      <c r="S318" s="39"/>
      <c r="T318" s="39"/>
      <c r="U318" s="187"/>
      <c r="W318" s="933">
        <v>2</v>
      </c>
    </row>
    <row r="319" spans="2:25" ht="22.5" customHeight="1">
      <c r="B319" s="393" t="str">
        <f>IF(Contents!$B$2=2,"Pension program","Пенсионная программа")</f>
        <v>Пенсионная программа</v>
      </c>
      <c r="C319" s="53" t="str">
        <f>IF(Contents!$B$2=2,"RR mln","млн руб.")</f>
        <v>млн руб.</v>
      </c>
      <c r="D319" s="46">
        <v>40</v>
      </c>
      <c r="E319" s="46">
        <v>50</v>
      </c>
      <c r="F319" s="46">
        <v>68</v>
      </c>
      <c r="G319" s="46">
        <v>87</v>
      </c>
      <c r="H319" s="46">
        <v>104</v>
      </c>
      <c r="I319" s="38">
        <v>124</v>
      </c>
      <c r="J319" s="38">
        <v>139</v>
      </c>
      <c r="K319" s="38">
        <v>159</v>
      </c>
      <c r="L319" s="38">
        <v>214</v>
      </c>
      <c r="M319" s="38">
        <v>243</v>
      </c>
      <c r="N319" s="89">
        <v>292</v>
      </c>
      <c r="O319" s="394"/>
      <c r="P319" s="558" t="str">
        <f>IF(Contents!$B$2=2,"Yes","Да")</f>
        <v>Да</v>
      </c>
      <c r="Q319" s="29"/>
      <c r="R319" s="39" t="s">
        <v>131</v>
      </c>
      <c r="S319" s="39"/>
      <c r="T319" s="39"/>
      <c r="U319" s="39" t="str">
        <f>IF(Contents!$B$2=2,"PBCS 88","СОКБ 88")</f>
        <v>СОКБ 88</v>
      </c>
      <c r="W319" s="933">
        <v>2</v>
      </c>
    </row>
    <row r="320" spans="2:25" ht="22.5" customHeight="1">
      <c r="B320" s="393" t="str">
        <f>IF(Contents!$B$2=2,"State guarantees support","Программа обеспечения государственных гарантий")</f>
        <v>Программа обеспечения государственных гарантий</v>
      </c>
      <c r="C320" s="53" t="str">
        <f>IF(Contents!$B$2=2,"RR mln","млн руб.")</f>
        <v>млн руб.</v>
      </c>
      <c r="D320" s="46">
        <v>74</v>
      </c>
      <c r="E320" s="46">
        <v>87</v>
      </c>
      <c r="F320" s="46">
        <v>94</v>
      </c>
      <c r="G320" s="46">
        <v>106</v>
      </c>
      <c r="H320" s="46">
        <v>114</v>
      </c>
      <c r="I320" s="38">
        <v>86</v>
      </c>
      <c r="J320" s="38">
        <v>124</v>
      </c>
      <c r="K320" s="38">
        <v>130</v>
      </c>
      <c r="L320" s="38">
        <v>162</v>
      </c>
      <c r="M320" s="38">
        <v>186</v>
      </c>
      <c r="N320" s="89">
        <v>191</v>
      </c>
      <c r="O320" s="394"/>
      <c r="P320" s="558"/>
      <c r="Q320" s="29"/>
      <c r="R320" s="39"/>
      <c r="S320" s="39"/>
      <c r="T320" s="39"/>
      <c r="U320" s="39"/>
      <c r="W320" s="933">
        <v>2</v>
      </c>
    </row>
    <row r="321" spans="1:24" ht="22.5" customHeight="1">
      <c r="B321" s="393" t="str">
        <f>IF(Contents!$B$2=2,"Other programs","Прочие программы")</f>
        <v>Прочие программы</v>
      </c>
      <c r="C321" s="53" t="str">
        <f>IF(Contents!$B$2=2,"RR mln","млн руб.")</f>
        <v>млн руб.</v>
      </c>
      <c r="D321" s="46" t="s">
        <v>185</v>
      </c>
      <c r="E321" s="46" t="s">
        <v>185</v>
      </c>
      <c r="F321" s="46" t="s">
        <v>185</v>
      </c>
      <c r="G321" s="46" t="s">
        <v>185</v>
      </c>
      <c r="H321" s="46" t="s">
        <v>185</v>
      </c>
      <c r="I321" s="38" t="s">
        <v>185</v>
      </c>
      <c r="J321" s="38">
        <v>717</v>
      </c>
      <c r="K321" s="38">
        <v>907</v>
      </c>
      <c r="L321" s="38">
        <v>1758</v>
      </c>
      <c r="M321" s="38">
        <v>2166</v>
      </c>
      <c r="N321" s="89">
        <v>1765</v>
      </c>
      <c r="O321" s="394"/>
      <c r="P321" s="558"/>
      <c r="Q321" s="29"/>
      <c r="R321" s="39"/>
      <c r="S321" s="39"/>
      <c r="T321" s="39"/>
      <c r="U321" s="39"/>
      <c r="W321" s="933">
        <v>2</v>
      </c>
    </row>
    <row r="322" spans="1:24">
      <c r="B322" s="393"/>
      <c r="C322" s="53"/>
      <c r="D322" s="46"/>
      <c r="E322" s="46"/>
      <c r="F322" s="46"/>
      <c r="G322" s="46"/>
      <c r="H322" s="46"/>
      <c r="I322" s="38"/>
      <c r="J322" s="38"/>
      <c r="K322" s="38"/>
      <c r="L322" s="38"/>
      <c r="M322" s="38"/>
      <c r="N322" s="38"/>
      <c r="O322" s="394"/>
      <c r="P322" s="558"/>
      <c r="Q322" s="394"/>
      <c r="R322" s="39"/>
      <c r="S322" s="39"/>
      <c r="T322" s="39"/>
      <c r="U322" s="39"/>
    </row>
    <row r="323" spans="1:24">
      <c r="B323" s="832" t="str">
        <f>IF(Contents!$B$2=2,"Number of employees covered by social programs","Количество работников, охваченных социальными программами")</f>
        <v>Количество работников, охваченных социальными программами</v>
      </c>
      <c r="C323" s="833"/>
      <c r="D323" s="46"/>
      <c r="E323" s="46"/>
      <c r="F323" s="46"/>
      <c r="G323" s="46"/>
      <c r="H323" s="46"/>
      <c r="I323" s="38"/>
      <c r="J323" s="38"/>
      <c r="K323" s="38"/>
      <c r="L323" s="38"/>
      <c r="M323" s="38"/>
      <c r="N323" s="38"/>
      <c r="O323" s="29"/>
      <c r="P323" s="558"/>
      <c r="Q323" s="29"/>
      <c r="R323" s="39"/>
      <c r="S323" s="39"/>
      <c r="T323" s="39"/>
      <c r="U323" s="39"/>
    </row>
    <row r="324" spans="1:24" ht="22.5" customHeight="1">
      <c r="B324" s="52" t="str">
        <f>IF(Contents!$B$2=2,"Number of pension program participants ","Количество участников пенсионной программы")</f>
        <v>Количество участников пенсионной программы</v>
      </c>
      <c r="C324" s="53" t="str">
        <f>IF(Contents!$B$2=2,"people"," человек")</f>
        <v xml:space="preserve"> человек</v>
      </c>
      <c r="D324" s="46">
        <v>661</v>
      </c>
      <c r="E324" s="46">
        <v>758</v>
      </c>
      <c r="F324" s="46">
        <v>866</v>
      </c>
      <c r="G324" s="46">
        <v>990</v>
      </c>
      <c r="H324" s="46">
        <v>1103</v>
      </c>
      <c r="I324" s="38">
        <v>1202</v>
      </c>
      <c r="J324" s="38">
        <v>1254</v>
      </c>
      <c r="K324" s="38">
        <v>1325</v>
      </c>
      <c r="L324" s="38">
        <v>1382</v>
      </c>
      <c r="M324" s="38">
        <v>1458</v>
      </c>
      <c r="N324" s="89">
        <v>1554</v>
      </c>
      <c r="O324" s="869"/>
      <c r="P324" s="558"/>
      <c r="Q324" s="394"/>
      <c r="R324" s="39"/>
      <c r="S324" s="39"/>
      <c r="T324" s="39"/>
      <c r="U324" s="39"/>
      <c r="W324" s="933">
        <v>1</v>
      </c>
    </row>
    <row r="325" spans="1:24" ht="26.45" customHeight="1">
      <c r="B325" s="52" t="str">
        <f>IF(Contents!$B$2=2,"Number of employees who used the State guarantees support program","Работники, воспользовавшихся Программой обеспечения государственных гарантий")</f>
        <v>Работники, воспользовавшихся Программой обеспечения государственных гарантий</v>
      </c>
      <c r="C325" s="53" t="str">
        <f>IF(Contents!$B$2=2,"people"," человек")</f>
        <v xml:space="preserve"> человек</v>
      </c>
      <c r="D325" s="46">
        <v>3343</v>
      </c>
      <c r="E325" s="46">
        <v>3553</v>
      </c>
      <c r="F325" s="46">
        <v>3834</v>
      </c>
      <c r="G325" s="46">
        <v>4184</v>
      </c>
      <c r="H325" s="46">
        <v>4526</v>
      </c>
      <c r="I325" s="38">
        <v>3585</v>
      </c>
      <c r="J325" s="38">
        <v>4723</v>
      </c>
      <c r="K325" s="38">
        <v>4517</v>
      </c>
      <c r="L325" s="38">
        <v>4958</v>
      </c>
      <c r="M325" s="38">
        <v>5063</v>
      </c>
      <c r="N325" s="89">
        <v>4944</v>
      </c>
      <c r="O325" s="879"/>
      <c r="P325" s="558"/>
      <c r="Q325" s="394"/>
      <c r="R325" s="39"/>
      <c r="S325" s="39"/>
      <c r="T325" s="39"/>
      <c r="U325" s="39"/>
      <c r="W325" s="933">
        <v>1</v>
      </c>
    </row>
    <row r="326" spans="1:24" ht="36">
      <c r="B326" s="52" t="str">
        <f>IF(Contents!$B$2=2,"Number of employees who used the Therapeutic resort treatment and rehabilitation program","Работники, воспользовавшихся Программой санаторно-курортного лечения и реабилитации")</f>
        <v>Работники, воспользовавшихся Программой санаторно-курортного лечения и реабилитации</v>
      </c>
      <c r="C326" s="53" t="str">
        <f>IF(Contents!$B$2=2,"people"," человек")</f>
        <v xml:space="preserve"> человек</v>
      </c>
      <c r="D326" s="46">
        <v>1825</v>
      </c>
      <c r="E326" s="46">
        <v>3479</v>
      </c>
      <c r="F326" s="46">
        <v>3850</v>
      </c>
      <c r="G326" s="46">
        <v>4587</v>
      </c>
      <c r="H326" s="46">
        <v>5373</v>
      </c>
      <c r="I326" s="38">
        <v>2581</v>
      </c>
      <c r="J326" s="38">
        <v>6253</v>
      </c>
      <c r="K326" s="38">
        <v>6633</v>
      </c>
      <c r="L326" s="38">
        <v>8346</v>
      </c>
      <c r="M326" s="38">
        <v>9905</v>
      </c>
      <c r="N326" s="89">
        <v>10075</v>
      </c>
      <c r="O326" s="394"/>
      <c r="P326" s="558"/>
      <c r="Q326" s="394"/>
      <c r="R326" s="187"/>
      <c r="S326" s="39"/>
      <c r="T326" s="39"/>
      <c r="U326" s="39"/>
      <c r="W326" s="933">
        <v>1</v>
      </c>
    </row>
    <row r="327" spans="1:24" ht="22.5" customHeight="1">
      <c r="B327" s="78"/>
      <c r="C327" s="53"/>
      <c r="D327" s="46"/>
      <c r="E327" s="46"/>
      <c r="F327" s="46"/>
      <c r="G327" s="46"/>
      <c r="H327" s="46"/>
      <c r="I327" s="46"/>
      <c r="J327" s="38"/>
      <c r="K327" s="38"/>
      <c r="L327" s="38"/>
      <c r="M327" s="38"/>
      <c r="N327" s="38"/>
      <c r="O327" s="29"/>
      <c r="P327" s="558"/>
      <c r="Q327" s="29"/>
      <c r="R327" s="39"/>
      <c r="S327" s="39"/>
      <c r="T327" s="39"/>
      <c r="U327" s="39"/>
    </row>
    <row r="328" spans="1:24">
      <c r="B328" s="25" t="str">
        <f>IF(Contents!$B$2=2,"Notes:","Примечания: ")</f>
        <v xml:space="preserve">Примечания: </v>
      </c>
      <c r="C328" s="61"/>
      <c r="D328" s="108"/>
      <c r="E328" s="108"/>
      <c r="F328" s="108"/>
      <c r="G328" s="108"/>
      <c r="H328" s="108"/>
      <c r="I328" s="108"/>
      <c r="J328" s="108"/>
      <c r="K328" s="108"/>
      <c r="L328" s="108"/>
      <c r="M328" s="108"/>
      <c r="N328" s="109"/>
      <c r="O328" s="38"/>
      <c r="P328" s="558"/>
      <c r="Q328" s="38"/>
      <c r="R328" s="39"/>
      <c r="S328" s="39"/>
      <c r="T328" s="39"/>
      <c r="U328" s="39"/>
    </row>
    <row r="329" spans="1:24">
      <c r="B329" s="65" t="str">
        <f>IF(Contents!$B$2=2,X329,W329)</f>
        <v>Программа целевых компенсаций и социально значимых выплат направлена на оказание адресной материальной помощи работникам в определенных жизненных ситуациях, в т.ч. на поддержку многодетных семей. С 2025 года значение по поддержке многодетных семей включает также информацию по зависимым обществам</v>
      </c>
      <c r="C329" s="301"/>
      <c r="D329" s="370"/>
      <c r="E329" s="370"/>
      <c r="F329" s="370"/>
      <c r="G329" s="370"/>
      <c r="H329" s="370"/>
      <c r="I329" s="370"/>
      <c r="J329" s="370"/>
      <c r="K329" s="370"/>
      <c r="L329" s="370"/>
      <c r="M329" s="370"/>
      <c r="N329" s="370"/>
      <c r="O329" s="29"/>
      <c r="P329" s="558"/>
      <c r="Q329" s="29"/>
      <c r="R329" s="39"/>
      <c r="S329" s="39"/>
      <c r="T329" s="39"/>
      <c r="U329" s="39"/>
      <c r="W329" s="936" t="s">
        <v>232</v>
      </c>
      <c r="X329" s="860" t="s">
        <v>233</v>
      </c>
    </row>
    <row r="330" spans="1:24" ht="22.5" customHeight="1">
      <c r="B330" s="65" t="str">
        <f>IF(Contents!$B$2=2,C331,B331)</f>
        <v>В программу включены выплаты для поддержки семей работников, компенсации расходов на спортивно-оздоровительные занятия работников, переезд и обустройство жилья, материальную помощь в случае стихийных бедствий и прочих сложных жизненных ситуаций.</v>
      </c>
      <c r="C330" s="53"/>
      <c r="D330" s="46"/>
      <c r="E330" s="46"/>
      <c r="F330" s="46"/>
      <c r="G330" s="46"/>
      <c r="H330" s="46"/>
      <c r="I330" s="38"/>
      <c r="J330" s="38"/>
      <c r="K330" s="38"/>
      <c r="L330" s="38"/>
      <c r="M330" s="38"/>
      <c r="N330" s="38"/>
      <c r="O330" s="394"/>
      <c r="P330" s="558"/>
      <c r="Q330" s="394"/>
      <c r="R330" s="629"/>
      <c r="S330" s="39"/>
      <c r="T330" s="39"/>
      <c r="U330" s="39"/>
    </row>
    <row r="331" spans="1:24" ht="17.45" customHeight="1">
      <c r="B331" s="114" t="s">
        <v>132</v>
      </c>
      <c r="C331" s="395" t="s">
        <v>133</v>
      </c>
      <c r="D331" s="370"/>
      <c r="E331" s="370"/>
      <c r="F331" s="370"/>
      <c r="G331" s="370"/>
      <c r="H331" s="370"/>
      <c r="I331" s="370"/>
      <c r="J331" s="370"/>
      <c r="K331" s="370"/>
      <c r="L331" s="370"/>
      <c r="M331" s="370"/>
      <c r="N331" s="370"/>
      <c r="O331" s="29"/>
      <c r="P331" s="558"/>
      <c r="Q331" s="29"/>
      <c r="R331" s="39"/>
      <c r="S331" s="39"/>
      <c r="T331" s="39"/>
      <c r="U331" s="39"/>
    </row>
    <row r="332" spans="1:24" ht="25.5" customHeight="1">
      <c r="A332" s="375"/>
      <c r="B332" s="390" t="str">
        <f>IF(Contents!$B$2=2,"Parental leave","Отпуск по уходу за ребенком")</f>
        <v>Отпуск по уходу за ребенком</v>
      </c>
      <c r="C332" s="391"/>
      <c r="D332" s="372"/>
      <c r="E332" s="372"/>
      <c r="F332" s="372"/>
      <c r="G332" s="372"/>
      <c r="H332" s="372"/>
      <c r="I332" s="379"/>
      <c r="J332" s="379"/>
      <c r="K332" s="379"/>
      <c r="L332" s="379"/>
      <c r="M332" s="379"/>
      <c r="N332" s="379"/>
      <c r="O332" s="29"/>
      <c r="P332" s="558" t="str">
        <f>IF(Contents!$B$2=2,"Yes","Да")</f>
        <v>Да</v>
      </c>
      <c r="Q332" s="29"/>
      <c r="R332" s="187" t="s">
        <v>134</v>
      </c>
      <c r="S332" s="39"/>
      <c r="T332" s="39"/>
      <c r="U332" s="39"/>
      <c r="W332" s="933">
        <v>1</v>
      </c>
    </row>
    <row r="333" spans="1:24" ht="22.5" customHeight="1">
      <c r="B333" s="396" t="str">
        <f>IF(Contents!$B$2=2,"Number of employees who went on parental leave during the year","Количество работников, которые в течение года ушли в декрет")</f>
        <v>Количество работников, которые в течение года ушли в декрет</v>
      </c>
      <c r="C333" s="53" t="str">
        <f>IF(Contents!$B$2=2,"people"," человек")</f>
        <v xml:space="preserve"> человек</v>
      </c>
      <c r="D333" s="46" t="s">
        <v>185</v>
      </c>
      <c r="E333" s="46" t="s">
        <v>185</v>
      </c>
      <c r="F333" s="46">
        <v>133</v>
      </c>
      <c r="G333" s="46">
        <v>145</v>
      </c>
      <c r="H333" s="46">
        <v>146</v>
      </c>
      <c r="I333" s="46">
        <v>148</v>
      </c>
      <c r="J333" s="46">
        <v>164</v>
      </c>
      <c r="K333" s="46">
        <v>154</v>
      </c>
      <c r="L333" s="46">
        <v>161</v>
      </c>
      <c r="M333" s="46">
        <v>142</v>
      </c>
      <c r="N333" s="104">
        <v>191</v>
      </c>
      <c r="O333" s="879"/>
      <c r="P333" s="558" t="str">
        <f>IF(Contents!$B$2=2,"Yes","Да")</f>
        <v>Да</v>
      </c>
      <c r="Q333" s="29"/>
      <c r="R333" s="187"/>
      <c r="S333" s="39"/>
      <c r="T333" s="39"/>
      <c r="U333" s="39"/>
      <c r="W333" s="933">
        <v>1</v>
      </c>
    </row>
    <row r="334" spans="1:24" ht="22.5" customHeight="1">
      <c r="B334" s="93" t="str">
        <f>IF(Contents!$B$2=2,"Male","Мужчины")</f>
        <v>Мужчины</v>
      </c>
      <c r="C334" s="53" t="str">
        <f>IF(Contents!$B$2=2,"people"," человек")</f>
        <v xml:space="preserve"> человек</v>
      </c>
      <c r="D334" s="46" t="s">
        <v>185</v>
      </c>
      <c r="E334" s="46" t="s">
        <v>185</v>
      </c>
      <c r="F334" s="46">
        <v>2</v>
      </c>
      <c r="G334" s="46">
        <v>5</v>
      </c>
      <c r="H334" s="46">
        <v>6</v>
      </c>
      <c r="I334" s="38">
        <v>8</v>
      </c>
      <c r="J334" s="38">
        <v>12</v>
      </c>
      <c r="K334" s="38">
        <v>16</v>
      </c>
      <c r="L334" s="38">
        <v>12</v>
      </c>
      <c r="M334" s="38">
        <v>15</v>
      </c>
      <c r="N334" s="89">
        <v>29</v>
      </c>
      <c r="O334" s="879"/>
      <c r="P334" s="558" t="str">
        <f>IF(Contents!$B$2=2,"Yes","Да")</f>
        <v>Да</v>
      </c>
      <c r="Q334" s="29"/>
      <c r="R334" s="187"/>
      <c r="S334" s="39"/>
      <c r="T334" s="39"/>
      <c r="U334" s="39"/>
      <c r="W334" s="933">
        <v>1</v>
      </c>
    </row>
    <row r="335" spans="1:24" ht="22.5" customHeight="1">
      <c r="B335" s="93" t="str">
        <f>IF(Contents!$B$2=2,"Female","Женщины")</f>
        <v>Женщины</v>
      </c>
      <c r="C335" s="53" t="str">
        <f>IF(Contents!$B$2=2,"people"," человек")</f>
        <v xml:space="preserve"> человек</v>
      </c>
      <c r="D335" s="46" t="s">
        <v>185</v>
      </c>
      <c r="E335" s="46" t="s">
        <v>185</v>
      </c>
      <c r="F335" s="46">
        <v>131</v>
      </c>
      <c r="G335" s="46">
        <v>140</v>
      </c>
      <c r="H335" s="46">
        <v>140</v>
      </c>
      <c r="I335" s="38">
        <v>140</v>
      </c>
      <c r="J335" s="38">
        <v>152</v>
      </c>
      <c r="K335" s="38">
        <v>138</v>
      </c>
      <c r="L335" s="38">
        <v>149</v>
      </c>
      <c r="M335" s="38">
        <v>127</v>
      </c>
      <c r="N335" s="89">
        <v>162</v>
      </c>
      <c r="O335" s="879"/>
      <c r="P335" s="558" t="str">
        <f>IF(Contents!$B$2=2,"Yes","Да")</f>
        <v>Да</v>
      </c>
      <c r="Q335" s="29"/>
      <c r="R335" s="39"/>
      <c r="S335" s="39"/>
      <c r="T335" s="39"/>
      <c r="U335" s="39"/>
      <c r="W335" s="933">
        <v>1</v>
      </c>
    </row>
    <row r="336" spans="1:24" ht="47.1" customHeight="1">
      <c r="B336" s="52" t="str">
        <f>IF(Contents!$B$2=2,"Number of employees who returned to work during the year after parental leave","Количество работников, которые в течение года вернулись на работу после декрета")</f>
        <v>Количество работников, которые в течение года вернулись на работу после декрета</v>
      </c>
      <c r="C336" s="53" t="str">
        <f>IF(Contents!$B$2=2,"people"," человек")</f>
        <v xml:space="preserve"> человек</v>
      </c>
      <c r="D336" s="46" t="s">
        <v>185</v>
      </c>
      <c r="E336" s="46" t="s">
        <v>185</v>
      </c>
      <c r="F336" s="46" t="s">
        <v>185</v>
      </c>
      <c r="G336" s="46" t="s">
        <v>185</v>
      </c>
      <c r="H336" s="46" t="s">
        <v>185</v>
      </c>
      <c r="I336" s="38" t="s">
        <v>185</v>
      </c>
      <c r="J336" s="38">
        <v>110</v>
      </c>
      <c r="K336" s="38">
        <v>117</v>
      </c>
      <c r="L336" s="38">
        <v>114</v>
      </c>
      <c r="M336" s="38">
        <v>99</v>
      </c>
      <c r="N336" s="89">
        <v>115</v>
      </c>
      <c r="O336" s="879"/>
      <c r="P336" s="558" t="str">
        <f>IF(Contents!$B$2=2,"Yes","Да")</f>
        <v>Да</v>
      </c>
      <c r="Q336" s="29"/>
      <c r="R336" s="187"/>
      <c r="S336" s="39"/>
      <c r="T336" s="39"/>
      <c r="U336" s="39"/>
      <c r="W336" s="933">
        <v>1</v>
      </c>
    </row>
    <row r="337" spans="2:23" ht="22.5" customHeight="1">
      <c r="B337" s="93" t="str">
        <f>IF(Contents!$B$2=2,"Male","Мужчины")</f>
        <v>Мужчины</v>
      </c>
      <c r="C337" s="53" t="str">
        <f>IF(Contents!$B$2=2,"people"," человек")</f>
        <v xml:space="preserve"> человек</v>
      </c>
      <c r="D337" s="46" t="s">
        <v>185</v>
      </c>
      <c r="E337" s="46" t="s">
        <v>185</v>
      </c>
      <c r="F337" s="46" t="s">
        <v>185</v>
      </c>
      <c r="G337" s="46" t="s">
        <v>185</v>
      </c>
      <c r="H337" s="46" t="s">
        <v>185</v>
      </c>
      <c r="I337" s="38" t="s">
        <v>185</v>
      </c>
      <c r="J337" s="38">
        <v>8</v>
      </c>
      <c r="K337" s="38">
        <v>7</v>
      </c>
      <c r="L337" s="38">
        <v>10</v>
      </c>
      <c r="M337" s="38">
        <v>9</v>
      </c>
      <c r="N337" s="89">
        <v>14</v>
      </c>
      <c r="O337" s="879"/>
      <c r="P337" s="558" t="str">
        <f>IF(Contents!$B$2=2,"Yes","Да")</f>
        <v>Да</v>
      </c>
      <c r="Q337" s="29"/>
      <c r="R337" s="187"/>
      <c r="S337" s="39"/>
      <c r="T337" s="39"/>
      <c r="U337" s="39"/>
      <c r="W337" s="933">
        <v>1</v>
      </c>
    </row>
    <row r="338" spans="2:23" ht="22.5" customHeight="1">
      <c r="B338" s="93" t="str">
        <f>IF(Contents!$B$2=2,"Female","Женщины")</f>
        <v>Женщины</v>
      </c>
      <c r="C338" s="53" t="str">
        <f>IF(Contents!$B$2=2,"people"," человек")</f>
        <v xml:space="preserve"> человек</v>
      </c>
      <c r="D338" s="46" t="s">
        <v>185</v>
      </c>
      <c r="E338" s="46" t="s">
        <v>185</v>
      </c>
      <c r="F338" s="46" t="s">
        <v>185</v>
      </c>
      <c r="G338" s="46" t="s">
        <v>185</v>
      </c>
      <c r="H338" s="46" t="s">
        <v>185</v>
      </c>
      <c r="I338" s="38" t="s">
        <v>185</v>
      </c>
      <c r="J338" s="38">
        <v>102</v>
      </c>
      <c r="K338" s="38">
        <v>110</v>
      </c>
      <c r="L338" s="38">
        <v>104</v>
      </c>
      <c r="M338" s="38">
        <v>90</v>
      </c>
      <c r="N338" s="89">
        <v>101</v>
      </c>
      <c r="O338" s="879"/>
      <c r="P338" s="558" t="str">
        <f>IF(Contents!$B$2=2,"Yes","Да")</f>
        <v>Да</v>
      </c>
      <c r="Q338" s="29"/>
      <c r="R338" s="39"/>
      <c r="S338" s="39"/>
      <c r="T338" s="39"/>
      <c r="U338" s="39"/>
      <c r="W338" s="933">
        <v>1</v>
      </c>
    </row>
    <row r="339" spans="2:23">
      <c r="B339" s="301"/>
      <c r="C339" s="301"/>
      <c r="D339" s="370"/>
      <c r="E339" s="370"/>
      <c r="F339" s="370"/>
      <c r="G339" s="370"/>
      <c r="H339" s="370"/>
      <c r="I339" s="370"/>
      <c r="J339" s="370"/>
      <c r="K339" s="370"/>
      <c r="L339" s="370"/>
      <c r="M339" s="370"/>
      <c r="N339" s="370"/>
      <c r="O339" s="29"/>
      <c r="P339" s="558"/>
      <c r="Q339" s="29"/>
      <c r="R339" s="39"/>
      <c r="S339" s="39"/>
      <c r="T339" s="39"/>
      <c r="U339" s="39"/>
    </row>
    <row r="340" spans="2:23" ht="20.100000000000001" customHeight="1">
      <c r="B340" s="45" t="str">
        <f>IF(Contents!$B$2=2,"Expenses on compensation","Расходы на выплату вознаграждений работникам")</f>
        <v>Расходы на выплату вознаграждений работникам</v>
      </c>
      <c r="C340" s="105"/>
      <c r="D340" s="106"/>
      <c r="E340" s="106"/>
      <c r="F340" s="106"/>
      <c r="G340" s="106"/>
      <c r="H340" s="106"/>
      <c r="I340" s="363"/>
      <c r="J340" s="363"/>
      <c r="K340" s="363"/>
      <c r="L340" s="363"/>
      <c r="M340" s="363"/>
      <c r="N340" s="363"/>
      <c r="O340" s="40"/>
      <c r="P340" s="558"/>
      <c r="Q340" s="40"/>
      <c r="R340" s="39"/>
      <c r="S340" s="39"/>
      <c r="T340" s="39"/>
      <c r="U340" s="39"/>
    </row>
    <row r="341" spans="2:23" ht="48" customHeight="1">
      <c r="B341" s="398" t="str">
        <f>IF(Contents!$B$2=2,"Expenses on compensation","Расходы на выплату вознаграждений работникам")</f>
        <v>Расходы на выплату вознаграждений работникам</v>
      </c>
      <c r="C341" s="399" t="str">
        <f>IF(Contents!$B$2=2,"RR bln","млрд руб.")</f>
        <v>млрд руб.</v>
      </c>
      <c r="D341" s="400" t="s">
        <v>185</v>
      </c>
      <c r="E341" s="400" t="s">
        <v>185</v>
      </c>
      <c r="F341" s="400" t="s">
        <v>185</v>
      </c>
      <c r="G341" s="400" t="s">
        <v>185</v>
      </c>
      <c r="H341" s="400" t="s">
        <v>185</v>
      </c>
      <c r="I341" s="400" t="s">
        <v>185</v>
      </c>
      <c r="J341" s="400" t="s">
        <v>185</v>
      </c>
      <c r="K341" s="400" t="s">
        <v>185</v>
      </c>
      <c r="L341" s="401">
        <v>62.9</v>
      </c>
      <c r="M341" s="401">
        <v>67.3</v>
      </c>
      <c r="N341" s="401">
        <v>82.3</v>
      </c>
      <c r="O341" s="29"/>
      <c r="P341" s="558"/>
      <c r="Q341" s="29"/>
      <c r="S341" s="39"/>
      <c r="T341" s="39"/>
      <c r="U341" s="39" t="str">
        <f>IF(Contents!$B$2=2,"PBCS 19","СОКБ 19")</f>
        <v>СОКБ 19</v>
      </c>
      <c r="W341" s="933">
        <v>3</v>
      </c>
    </row>
    <row r="342" spans="2:23" ht="22.5" customHeight="1">
      <c r="B342" s="402"/>
      <c r="C342" s="53"/>
      <c r="D342" s="46"/>
      <c r="E342" s="46"/>
      <c r="F342" s="46"/>
      <c r="G342" s="46"/>
      <c r="H342" s="46"/>
      <c r="I342" s="38"/>
      <c r="J342" s="38"/>
      <c r="K342" s="38"/>
      <c r="L342" s="38"/>
      <c r="M342" s="38"/>
      <c r="N342" s="38"/>
      <c r="O342" s="38"/>
      <c r="P342" s="558"/>
      <c r="Q342" s="38"/>
      <c r="R342" s="39"/>
      <c r="S342" s="39"/>
      <c r="T342" s="39"/>
      <c r="U342" s="39"/>
    </row>
    <row r="343" spans="2:23" ht="22.5" customHeight="1">
      <c r="B343" s="371" t="str">
        <f>IF(Contents!$B$2=2,"Minimum compensation","Минимальная оплата труда")</f>
        <v>Минимальная оплата труда</v>
      </c>
      <c r="C343" s="391"/>
      <c r="D343" s="403"/>
      <c r="E343" s="403"/>
      <c r="F343" s="403"/>
      <c r="G343" s="403"/>
      <c r="H343" s="403"/>
      <c r="I343" s="404"/>
      <c r="J343" s="403"/>
      <c r="K343" s="403"/>
      <c r="L343" s="403"/>
      <c r="M343" s="403"/>
      <c r="N343" s="403"/>
      <c r="O343" s="37"/>
      <c r="P343" s="558" t="str">
        <f>IF(Contents!$B$2=2,"Yes","Да")</f>
        <v>Да</v>
      </c>
      <c r="Q343" s="37"/>
      <c r="R343" s="39" t="s">
        <v>135</v>
      </c>
      <c r="S343" s="39"/>
      <c r="T343" s="39"/>
      <c r="U343" s="39"/>
      <c r="W343" s="933">
        <v>1</v>
      </c>
    </row>
    <row r="344" spans="2:23" ht="22.5" customHeight="1">
      <c r="B344" s="396" t="str">
        <f>IF(Contents!$B$2=2,"Minimum salary in the Company","Минимальный оклад в Компании")</f>
        <v>Минимальный оклад в Компании</v>
      </c>
      <c r="C344" s="53"/>
      <c r="D344" s="46"/>
      <c r="E344" s="46"/>
      <c r="F344" s="46"/>
      <c r="G344" s="46"/>
      <c r="H344" s="46"/>
      <c r="I344" s="38"/>
      <c r="J344" s="38"/>
      <c r="K344" s="38"/>
      <c r="L344" s="38"/>
      <c r="M344" s="38"/>
      <c r="N344" s="89"/>
      <c r="O344" s="38"/>
      <c r="P344" s="558"/>
      <c r="Q344" s="38"/>
      <c r="R344" s="39"/>
      <c r="S344" s="39"/>
      <c r="T344" s="39"/>
      <c r="U344" s="39"/>
    </row>
    <row r="345" spans="2:23" ht="22.5" customHeight="1">
      <c r="B345" s="78" t="str">
        <f>IF(Contents!$B$2=2,"Moscow","Москва")</f>
        <v>Москва</v>
      </c>
      <c r="C345" s="53" t="str">
        <f>IF(Contents!$B$2=2,"RR","руб.")</f>
        <v>руб.</v>
      </c>
      <c r="D345" s="46">
        <v>28500</v>
      </c>
      <c r="E345" s="46">
        <v>30500</v>
      </c>
      <c r="F345" s="46">
        <v>38236</v>
      </c>
      <c r="G345" s="46">
        <v>39765</v>
      </c>
      <c r="H345" s="46">
        <v>41753</v>
      </c>
      <c r="I345" s="38">
        <v>41753</v>
      </c>
      <c r="J345" s="38">
        <v>45511</v>
      </c>
      <c r="K345" s="38">
        <v>56403</v>
      </c>
      <c r="L345" s="38">
        <v>60915</v>
      </c>
      <c r="M345" s="38">
        <v>63961</v>
      </c>
      <c r="N345" s="89">
        <v>69398</v>
      </c>
      <c r="O345" s="38"/>
      <c r="P345" s="558" t="str">
        <f>IF(Contents!$B$2=2,"Yes","Да")</f>
        <v>Да</v>
      </c>
      <c r="Q345" s="38"/>
      <c r="R345" s="39"/>
      <c r="S345" s="39"/>
      <c r="T345" s="39"/>
      <c r="U345" s="39"/>
      <c r="W345" s="933">
        <v>1</v>
      </c>
    </row>
    <row r="346" spans="2:23" ht="22.5" customHeight="1">
      <c r="B346" s="177" t="str">
        <f>IF(Contents!$B$2=2,"Yamal-Nenets Autonomous Region","Ямало-Ненецкий автономный округ")</f>
        <v>Ямало-Ненецкий автономный округ</v>
      </c>
      <c r="C346" s="53"/>
      <c r="D346" s="46"/>
      <c r="E346" s="46"/>
      <c r="F346" s="46"/>
      <c r="G346" s="46"/>
      <c r="H346" s="46"/>
      <c r="I346" s="38"/>
      <c r="J346" s="38"/>
      <c r="K346" s="38"/>
      <c r="L346" s="38"/>
      <c r="M346" s="38"/>
      <c r="N346" s="89"/>
      <c r="O346" s="38"/>
      <c r="P346" s="558" t="str">
        <f>IF(Contents!$B$2=2,"Yes","Да")</f>
        <v>Да</v>
      </c>
      <c r="Q346" s="38"/>
      <c r="R346" s="39"/>
      <c r="S346" s="39"/>
      <c r="T346" s="39"/>
      <c r="U346" s="39"/>
      <c r="W346" s="933">
        <v>1</v>
      </c>
    </row>
    <row r="347" spans="2:23" ht="22.5" customHeight="1">
      <c r="B347" s="285" t="str">
        <f>IF(Contents!$B$2=2,"Male","Мужчины")</f>
        <v>Мужчины</v>
      </c>
      <c r="C347" s="53" t="str">
        <f>IF(Contents!$B$2=2,"RR","руб.")</f>
        <v>руб.</v>
      </c>
      <c r="D347" s="46" t="s">
        <v>185</v>
      </c>
      <c r="E347" s="46" t="s">
        <v>185</v>
      </c>
      <c r="F347" s="46" t="s">
        <v>185</v>
      </c>
      <c r="G347" s="46" t="s">
        <v>185</v>
      </c>
      <c r="H347" s="46" t="s">
        <v>185</v>
      </c>
      <c r="I347" s="38" t="s">
        <v>185</v>
      </c>
      <c r="J347" s="38" t="s">
        <v>185</v>
      </c>
      <c r="K347" s="38">
        <v>30050</v>
      </c>
      <c r="L347" s="38">
        <v>26946</v>
      </c>
      <c r="M347" s="38">
        <v>28294</v>
      </c>
      <c r="N347" s="89">
        <v>30699</v>
      </c>
      <c r="O347" s="38"/>
      <c r="P347" s="558" t="str">
        <f>IF(Contents!$B$2=2,"Yes","Да")</f>
        <v>Да</v>
      </c>
      <c r="Q347" s="38"/>
      <c r="R347" s="39"/>
      <c r="S347" s="39"/>
      <c r="T347" s="39"/>
      <c r="U347" s="39"/>
      <c r="W347" s="933">
        <v>1</v>
      </c>
    </row>
    <row r="348" spans="2:23" ht="22.5" customHeight="1">
      <c r="B348" s="285" t="str">
        <f>IF(Contents!$B$2=2,"Female","Женщины")</f>
        <v>Женщины</v>
      </c>
      <c r="C348" s="53" t="str">
        <f>IF(Contents!$B$2=2,"RR","руб.")</f>
        <v>руб.</v>
      </c>
      <c r="D348" s="38" t="s">
        <v>185</v>
      </c>
      <c r="E348" s="38" t="s">
        <v>185</v>
      </c>
      <c r="F348" s="38" t="s">
        <v>185</v>
      </c>
      <c r="G348" s="38" t="s">
        <v>185</v>
      </c>
      <c r="H348" s="38" t="s">
        <v>185</v>
      </c>
      <c r="I348" s="38" t="s">
        <v>185</v>
      </c>
      <c r="J348" s="38" t="s">
        <v>185</v>
      </c>
      <c r="K348" s="38">
        <v>16900</v>
      </c>
      <c r="L348" s="38">
        <v>23430</v>
      </c>
      <c r="M348" s="38">
        <v>24601</v>
      </c>
      <c r="N348" s="89">
        <v>26693</v>
      </c>
      <c r="O348" s="38"/>
      <c r="P348" s="558" t="str">
        <f>IF(Contents!$B$2=2,"Yes","Да")</f>
        <v>Да</v>
      </c>
      <c r="Q348" s="38"/>
      <c r="R348" s="39"/>
      <c r="S348" s="39"/>
      <c r="T348" s="39"/>
      <c r="U348" s="39"/>
      <c r="W348" s="933">
        <v>1</v>
      </c>
    </row>
    <row r="349" spans="2:23" ht="22.5" customHeight="1">
      <c r="B349" s="396" t="str">
        <f>IF(Contents!$B$2=2,"Minimum wage in the region","Минимальный размер оплаты труда (МРОТ) в регионе")</f>
        <v>Минимальный размер оплаты труда (МРОТ) в регионе</v>
      </c>
      <c r="C349" s="53"/>
      <c r="D349" s="38"/>
      <c r="E349" s="38"/>
      <c r="F349" s="38"/>
      <c r="G349" s="38"/>
      <c r="H349" s="38"/>
      <c r="I349" s="38"/>
      <c r="J349" s="38"/>
      <c r="K349" s="38"/>
      <c r="L349" s="38"/>
      <c r="M349" s="38"/>
      <c r="N349" s="89"/>
      <c r="O349" s="38"/>
      <c r="P349" s="558" t="str">
        <f>IF(Contents!$B$2=2,"Yes","Да")</f>
        <v>Да</v>
      </c>
      <c r="Q349" s="38"/>
      <c r="R349" s="39"/>
      <c r="S349" s="39"/>
      <c r="T349" s="39"/>
      <c r="U349" s="39"/>
      <c r="W349" s="933">
        <v>1</v>
      </c>
    </row>
    <row r="350" spans="2:23" ht="22.5" customHeight="1">
      <c r="B350" s="78" t="str">
        <f>IF(Contents!$B$2=2,"Moscow","Москва")</f>
        <v>Москва</v>
      </c>
      <c r="C350" s="53" t="str">
        <f>IF(Contents!$B$2=2,"RR","руб.")</f>
        <v>руб.</v>
      </c>
      <c r="D350" s="38" t="s">
        <v>185</v>
      </c>
      <c r="E350" s="38" t="s">
        <v>185</v>
      </c>
      <c r="F350" s="38" t="s">
        <v>185</v>
      </c>
      <c r="G350" s="38" t="s">
        <v>185</v>
      </c>
      <c r="H350" s="38" t="s">
        <v>185</v>
      </c>
      <c r="I350" s="38" t="s">
        <v>185</v>
      </c>
      <c r="J350" s="38" t="s">
        <v>185</v>
      </c>
      <c r="K350" s="38">
        <v>23508</v>
      </c>
      <c r="L350" s="38">
        <v>24801</v>
      </c>
      <c r="M350" s="38">
        <v>29389</v>
      </c>
      <c r="N350" s="89">
        <v>32916</v>
      </c>
      <c r="O350" s="38"/>
      <c r="P350" s="558" t="str">
        <f>IF(Contents!$B$2=2,"Yes","Да")</f>
        <v>Да</v>
      </c>
      <c r="Q350" s="38"/>
      <c r="R350" s="39"/>
      <c r="S350" s="39"/>
      <c r="T350" s="39"/>
      <c r="U350" s="39"/>
      <c r="W350" s="933">
        <v>1</v>
      </c>
    </row>
    <row r="351" spans="2:23" ht="22.5" customHeight="1">
      <c r="B351" s="177" t="str">
        <f>IF(Contents!$B$2=2,"Yamal-Nenets Autonomous Region","Ямало-Ненецкий автономный округ")</f>
        <v>Ямало-Ненецкий автономный округ</v>
      </c>
      <c r="C351" s="53" t="str">
        <f>IF(Contents!$B$2=2,"RR","руб.")</f>
        <v>руб.</v>
      </c>
      <c r="D351" s="38" t="s">
        <v>185</v>
      </c>
      <c r="E351" s="38" t="s">
        <v>185</v>
      </c>
      <c r="F351" s="38" t="s">
        <v>185</v>
      </c>
      <c r="G351" s="38" t="s">
        <v>185</v>
      </c>
      <c r="H351" s="38" t="s">
        <v>185</v>
      </c>
      <c r="I351" s="38" t="s">
        <v>185</v>
      </c>
      <c r="J351" s="38" t="s">
        <v>185</v>
      </c>
      <c r="K351" s="38">
        <v>15279</v>
      </c>
      <c r="L351" s="38">
        <v>16242</v>
      </c>
      <c r="M351" s="38">
        <v>19242</v>
      </c>
      <c r="N351" s="89">
        <v>22440</v>
      </c>
      <c r="O351" s="38"/>
      <c r="P351" s="558" t="str">
        <f>IF(Contents!$B$2=2,"Yes","Да")</f>
        <v>Да</v>
      </c>
      <c r="Q351" s="38"/>
      <c r="R351" s="39"/>
      <c r="S351" s="39"/>
      <c r="T351" s="39"/>
      <c r="U351" s="39"/>
      <c r="W351" s="933">
        <v>1</v>
      </c>
    </row>
    <row r="352" spans="2:23" ht="22.5" customHeight="1">
      <c r="B352" s="396" t="str">
        <f>IF(Contents!$B$2=2,"Ratio of the Company's minimum salary to the minimum wage in the region","Отношение минимального оклада в Компании к МРОТ в регионе")</f>
        <v>Отношение минимального оклада в Компании к МРОТ в регионе</v>
      </c>
      <c r="C352" s="53"/>
      <c r="D352" s="38"/>
      <c r="E352" s="38"/>
      <c r="F352" s="38"/>
      <c r="G352" s="38"/>
      <c r="H352" s="38"/>
      <c r="I352" s="38"/>
      <c r="J352" s="38"/>
      <c r="K352" s="38"/>
      <c r="L352" s="38"/>
      <c r="M352" s="38"/>
      <c r="N352" s="89"/>
      <c r="O352" s="38"/>
      <c r="P352" s="558" t="str">
        <f>IF(Contents!$B$2=2,"Yes","Да")</f>
        <v>Да</v>
      </c>
      <c r="Q352" s="38"/>
      <c r="R352" s="39"/>
      <c r="S352" s="39"/>
      <c r="T352" s="39"/>
      <c r="U352" s="39"/>
      <c r="W352" s="933">
        <v>1</v>
      </c>
    </row>
    <row r="353" spans="1:25" ht="22.5" customHeight="1">
      <c r="B353" s="78" t="str">
        <f>IF(Contents!$B$2=2,"Moscow","Москва")</f>
        <v>Москва</v>
      </c>
      <c r="C353" s="53" t="s">
        <v>136</v>
      </c>
      <c r="D353" s="38" t="s">
        <v>185</v>
      </c>
      <c r="E353" s="38" t="s">
        <v>185</v>
      </c>
      <c r="F353" s="38" t="s">
        <v>185</v>
      </c>
      <c r="G353" s="38" t="s">
        <v>185</v>
      </c>
      <c r="H353" s="38" t="s">
        <v>185</v>
      </c>
      <c r="I353" s="38" t="s">
        <v>185</v>
      </c>
      <c r="J353" s="38" t="s">
        <v>185</v>
      </c>
      <c r="K353" s="405">
        <v>2.399310872894334</v>
      </c>
      <c r="L353" s="405">
        <v>2.4561509616547719</v>
      </c>
      <c r="M353" s="405">
        <v>2.1763585014801454</v>
      </c>
      <c r="N353" s="94">
        <v>2.1083363713695467</v>
      </c>
      <c r="O353" s="38"/>
      <c r="P353" s="558" t="str">
        <f>IF(Contents!$B$2=2,"Yes","Да")</f>
        <v>Да</v>
      </c>
      <c r="Q353" s="38"/>
      <c r="R353" s="39"/>
      <c r="S353" s="39"/>
      <c r="T353" s="39"/>
      <c r="U353" s="39"/>
      <c r="W353" s="933">
        <v>1</v>
      </c>
    </row>
    <row r="354" spans="1:25">
      <c r="B354" s="177" t="str">
        <f>IF(Contents!$B$2=2,"Yamal-Nenets Autonomous Region","Ямало-Ненецкий автономный округ")</f>
        <v>Ямало-Ненецкий автономный округ</v>
      </c>
      <c r="C354" s="53"/>
      <c r="D354" s="38"/>
      <c r="E354" s="38"/>
      <c r="F354" s="38"/>
      <c r="G354" s="38"/>
      <c r="H354" s="38"/>
      <c r="I354" s="38"/>
      <c r="J354" s="38"/>
      <c r="K354" s="38"/>
      <c r="L354" s="38"/>
      <c r="M354" s="38"/>
      <c r="N354" s="94"/>
      <c r="O354" s="38"/>
      <c r="P354" s="558" t="str">
        <f>IF(Contents!$B$2=2,"Yes","Да")</f>
        <v>Да</v>
      </c>
      <c r="Q354" s="38"/>
      <c r="R354" s="39"/>
      <c r="S354" s="39"/>
      <c r="T354" s="39"/>
      <c r="U354" s="39"/>
      <c r="W354" s="933">
        <v>1</v>
      </c>
    </row>
    <row r="355" spans="1:25">
      <c r="B355" s="285" t="str">
        <f>IF(Contents!$B$2=2,"Male","Мужчины")</f>
        <v>Мужчины</v>
      </c>
      <c r="C355" s="53" t="s">
        <v>136</v>
      </c>
      <c r="D355" s="38" t="s">
        <v>185</v>
      </c>
      <c r="E355" s="38" t="s">
        <v>185</v>
      </c>
      <c r="F355" s="38" t="s">
        <v>185</v>
      </c>
      <c r="G355" s="38" t="s">
        <v>185</v>
      </c>
      <c r="H355" s="38" t="s">
        <v>185</v>
      </c>
      <c r="I355" s="38" t="s">
        <v>185</v>
      </c>
      <c r="J355" s="38" t="s">
        <v>185</v>
      </c>
      <c r="K355" s="405">
        <v>1.9667517507690293</v>
      </c>
      <c r="L355" s="405">
        <v>1.6590321388991502</v>
      </c>
      <c r="M355" s="405">
        <v>1.4704292693067249</v>
      </c>
      <c r="N355" s="94">
        <v>1.3680481283422461</v>
      </c>
      <c r="O355" s="38"/>
      <c r="P355" s="558" t="str">
        <f>IF(Contents!$B$2=2,"Yes","Да")</f>
        <v>Да</v>
      </c>
      <c r="Q355" s="38"/>
      <c r="R355" s="39"/>
      <c r="S355" s="39"/>
      <c r="T355" s="39"/>
      <c r="U355" s="39"/>
      <c r="W355" s="933">
        <v>1</v>
      </c>
    </row>
    <row r="356" spans="1:25">
      <c r="B356" s="285" t="str">
        <f>IF(Contents!$B$2=2,"Female","Женщины")</f>
        <v>Женщины</v>
      </c>
      <c r="C356" s="53" t="s">
        <v>136</v>
      </c>
      <c r="D356" s="38" t="s">
        <v>185</v>
      </c>
      <c r="E356" s="38" t="s">
        <v>185</v>
      </c>
      <c r="F356" s="38" t="s">
        <v>185</v>
      </c>
      <c r="G356" s="38" t="s">
        <v>185</v>
      </c>
      <c r="H356" s="38" t="s">
        <v>185</v>
      </c>
      <c r="I356" s="38" t="s">
        <v>185</v>
      </c>
      <c r="J356" s="38" t="s">
        <v>185</v>
      </c>
      <c r="K356" s="405">
        <v>1.1060933307153609</v>
      </c>
      <c r="L356" s="405">
        <v>1.4425563354266715</v>
      </c>
      <c r="M356" s="405">
        <v>1.2785053528739216</v>
      </c>
      <c r="N356" s="94">
        <v>1.1895276292335115</v>
      </c>
      <c r="O356" s="38"/>
      <c r="P356" s="558" t="str">
        <f>IF(Contents!$B$2=2,"Yes","Да")</f>
        <v>Да</v>
      </c>
      <c r="Q356" s="38"/>
      <c r="R356" s="39"/>
      <c r="S356" s="39"/>
      <c r="T356" s="39"/>
      <c r="U356" s="39"/>
      <c r="W356" s="933">
        <v>1</v>
      </c>
      <c r="Y356" s="558"/>
    </row>
    <row r="357" spans="1:25">
      <c r="B357" s="78"/>
      <c r="C357" s="53"/>
      <c r="D357" s="38"/>
      <c r="E357" s="38"/>
      <c r="F357" s="38"/>
      <c r="G357" s="38"/>
      <c r="H357" s="38"/>
      <c r="I357" s="38"/>
      <c r="J357" s="38"/>
      <c r="K357" s="38"/>
      <c r="L357" s="38"/>
      <c r="M357" s="38"/>
      <c r="N357" s="108"/>
      <c r="O357" s="38"/>
      <c r="P357" s="558"/>
      <c r="Q357" s="38"/>
      <c r="R357" s="39"/>
      <c r="S357" s="39"/>
      <c r="T357" s="39"/>
      <c r="U357" s="39"/>
    </row>
    <row r="358" spans="1:25">
      <c r="B358" s="25" t="str">
        <f>IF(Contents!$B$2=2,"Notes:","Примечания: ")</f>
        <v xml:space="preserve">Примечания: </v>
      </c>
      <c r="C358" s="61"/>
      <c r="D358" s="108"/>
      <c r="E358" s="108"/>
      <c r="F358" s="108"/>
      <c r="G358" s="108"/>
      <c r="H358" s="108"/>
      <c r="I358" s="108"/>
      <c r="J358" s="108"/>
      <c r="K358" s="108"/>
      <c r="L358" s="108"/>
      <c r="M358" s="108"/>
      <c r="N358" s="109"/>
      <c r="O358" s="38"/>
      <c r="P358" s="558"/>
      <c r="Q358" s="38"/>
      <c r="R358" s="39"/>
      <c r="S358" s="39"/>
      <c r="T358" s="39"/>
      <c r="U358" s="39"/>
    </row>
    <row r="359" spans="1:25">
      <c r="B359" s="406" t="str">
        <f>IF(Contents!$B$2=2,"Minimum wage positions (2025)","Должности с минимальным уровнем оплаты труда (2025 г.):")</f>
        <v>Должности с минимальным уровнем оплаты труда (2025 г.):</v>
      </c>
      <c r="C359" s="406"/>
      <c r="D359" s="407"/>
      <c r="E359" s="407"/>
      <c r="F359" s="407"/>
      <c r="G359" s="407"/>
      <c r="H359" s="407"/>
      <c r="I359" s="407"/>
      <c r="J359" s="407"/>
      <c r="K359" s="407"/>
      <c r="L359" s="407"/>
      <c r="M359" s="407"/>
      <c r="N359" s="407"/>
      <c r="O359" s="29"/>
      <c r="P359" s="558"/>
      <c r="Q359" s="29"/>
      <c r="R359" s="39"/>
      <c r="S359" s="39"/>
      <c r="T359" s="39"/>
      <c r="U359" s="39"/>
    </row>
    <row r="360" spans="1:25">
      <c r="B360" s="406" t="str">
        <f>IF(Contents!$B$2=2,"Moscow: junior specialist for both men and women.","Москва: мужчины и женщины - младший специалист.")</f>
        <v>Москва: мужчины и женщины - младший специалист.</v>
      </c>
      <c r="C360" s="53"/>
      <c r="D360" s="46"/>
      <c r="E360" s="46"/>
      <c r="F360" s="46"/>
      <c r="G360" s="46"/>
      <c r="H360" s="46"/>
      <c r="I360" s="38"/>
      <c r="J360" s="38"/>
      <c r="K360" s="38"/>
      <c r="L360" s="38"/>
      <c r="M360" s="38"/>
      <c r="N360" s="38"/>
      <c r="O360" s="38"/>
      <c r="P360" s="558"/>
      <c r="Q360" s="38"/>
      <c r="R360" s="39"/>
      <c r="S360" s="39"/>
      <c r="T360" s="39"/>
      <c r="U360" s="39"/>
    </row>
    <row r="361" spans="1:25">
      <c r="B361" s="408" t="str">
        <f>IF(Contents!$B$2=2,"Yamalo-Nenets Autonomous District: technicians for men, cleaners of production and office premises for women.","ЯНАО: мужчины - техник, женщины - уборщик производственных и служебных помещений.")</f>
        <v>ЯНАО: мужчины - техник, женщины - уборщик производственных и служебных помещений.</v>
      </c>
      <c r="C361" s="53"/>
      <c r="D361" s="46"/>
      <c r="E361" s="46"/>
      <c r="F361" s="46"/>
      <c r="G361" s="46"/>
      <c r="H361" s="46"/>
      <c r="I361" s="38"/>
      <c r="J361" s="38"/>
      <c r="K361" s="38"/>
      <c r="L361" s="38"/>
      <c r="M361" s="38"/>
      <c r="N361" s="38"/>
      <c r="O361" s="38"/>
      <c r="P361" s="558"/>
      <c r="Q361" s="38"/>
      <c r="R361" s="39"/>
      <c r="S361" s="39"/>
      <c r="T361" s="39"/>
      <c r="U361" s="39"/>
    </row>
    <row r="362" spans="1:25">
      <c r="B362" s="408" t="str">
        <f>IF(Contents!$B$2=2,"Minimum wage in the region according to the Federal State Statistics Service","Минимальный размер оплаты труда (МРОТ) по данным Федеральной службы государственной статистики (Росстат).")</f>
        <v>Минимальный размер оплаты труда (МРОТ) по данным Федеральной службы государственной статистики (Росстат).</v>
      </c>
      <c r="C362" s="53"/>
      <c r="D362" s="46"/>
      <c r="E362" s="46"/>
      <c r="F362" s="46"/>
      <c r="G362" s="46"/>
      <c r="H362" s="46"/>
      <c r="I362" s="38"/>
      <c r="J362" s="38"/>
      <c r="K362" s="38"/>
      <c r="L362" s="38"/>
      <c r="M362" s="38"/>
      <c r="N362" s="38"/>
      <c r="O362" s="38"/>
      <c r="P362" s="558"/>
      <c r="Q362" s="38"/>
      <c r="R362" s="39"/>
      <c r="S362" s="39"/>
      <c r="T362" s="39"/>
      <c r="U362" s="39"/>
    </row>
    <row r="363" spans="1:25">
      <c r="B363" s="406"/>
      <c r="C363" s="53"/>
      <c r="D363" s="46"/>
      <c r="E363" s="46"/>
      <c r="F363" s="46"/>
      <c r="G363" s="46"/>
      <c r="H363" s="46"/>
      <c r="I363" s="38"/>
      <c r="J363" s="38"/>
      <c r="K363" s="38"/>
      <c r="L363" s="38"/>
      <c r="M363" s="38"/>
      <c r="N363" s="38"/>
      <c r="O363" s="38"/>
      <c r="P363" s="558"/>
      <c r="Q363" s="38"/>
      <c r="R363" s="39"/>
      <c r="S363" s="39"/>
      <c r="T363" s="39"/>
      <c r="U363" s="39"/>
    </row>
    <row r="364" spans="1:25" ht="45" customHeight="1">
      <c r="A364" s="397"/>
      <c r="B364" s="390" t="str">
        <f>IF(Contents!$B$2=2,"Ratio of the the average salary in the Company (excluding dependent companies) to the average salary in the Yamalo-Nenets Autonomous Okrug","Отношение средней заработной платы в Компании (без учета зависимых обществ) к среднему уровню заработной платы в ЯНАО")</f>
        <v>Отношение средней заработной платы в Компании (без учета зависимых обществ) к среднему уровню заработной платы в ЯНАО</v>
      </c>
      <c r="C364" s="391"/>
      <c r="D364" s="403"/>
      <c r="E364" s="403"/>
      <c r="F364" s="403"/>
      <c r="G364" s="403"/>
      <c r="H364" s="403"/>
      <c r="I364" s="404"/>
      <c r="J364" s="403"/>
      <c r="K364" s="403"/>
      <c r="L364" s="403"/>
      <c r="M364" s="403"/>
      <c r="N364" s="403"/>
      <c r="O364" s="38"/>
      <c r="P364" s="558"/>
      <c r="Q364" s="38"/>
      <c r="R364" s="39"/>
      <c r="S364" s="39"/>
      <c r="T364" s="39"/>
      <c r="U364" s="39" t="str">
        <f>IF(Contents!$B$2=2,"PBCS 20","СОКБ 20")</f>
        <v>СОКБ 20</v>
      </c>
    </row>
    <row r="365" spans="1:25" ht="53.1" customHeight="1">
      <c r="B365" s="52" t="str">
        <f>IF(Contents!$B$2=2,"Ratio of the the average salary in the Company (excluding dependent companies) to the average salary in the Yamalo-Nenets Autonomous Okrug","Отношение средней заработной платы в Компании (без учета зависимых обществ) к среднему уровню заработной платы в ЯНАО")</f>
        <v>Отношение средней заработной платы в Компании (без учета зависимых обществ) к среднему уровню заработной платы в ЯНАО</v>
      </c>
      <c r="C365" s="53" t="s">
        <v>136</v>
      </c>
      <c r="D365" s="38" t="s">
        <v>185</v>
      </c>
      <c r="E365" s="38" t="s">
        <v>185</v>
      </c>
      <c r="F365" s="38" t="s">
        <v>185</v>
      </c>
      <c r="G365" s="38" t="s">
        <v>185</v>
      </c>
      <c r="H365" s="38" t="s">
        <v>185</v>
      </c>
      <c r="I365" s="38" t="s">
        <v>185</v>
      </c>
      <c r="J365" s="38" t="s">
        <v>185</v>
      </c>
      <c r="K365" s="38" t="s">
        <v>185</v>
      </c>
      <c r="L365" s="38" t="s">
        <v>185</v>
      </c>
      <c r="M365" s="38" t="s">
        <v>185</v>
      </c>
      <c r="N365" s="97">
        <v>2.7</v>
      </c>
      <c r="O365" s="871"/>
      <c r="P365" s="558"/>
      <c r="Q365" s="38"/>
      <c r="R365" s="39"/>
      <c r="S365" s="39"/>
      <c r="T365" s="39"/>
      <c r="U365" s="39" t="str">
        <f>IF(Contents!$B$2=2,"PBCS 20","СОКБ 20")</f>
        <v>СОКБ 20</v>
      </c>
      <c r="W365" s="933">
        <v>1</v>
      </c>
    </row>
    <row r="366" spans="1:25">
      <c r="B366" s="750"/>
      <c r="C366" s="53"/>
      <c r="D366" s="38"/>
      <c r="E366" s="38"/>
      <c r="F366" s="38"/>
      <c r="G366" s="38"/>
      <c r="H366" s="38"/>
      <c r="I366" s="38"/>
      <c r="J366" s="38"/>
      <c r="K366" s="38"/>
      <c r="L366" s="38"/>
      <c r="M366" s="38"/>
      <c r="N366" s="38"/>
      <c r="O366" s="38"/>
      <c r="P366" s="558"/>
      <c r="Q366" s="38"/>
      <c r="R366" s="39"/>
      <c r="S366" s="39"/>
      <c r="T366" s="39"/>
      <c r="U366" s="39"/>
    </row>
    <row r="367" spans="1:25">
      <c r="B367" s="52"/>
      <c r="C367" s="53"/>
      <c r="D367" s="38"/>
      <c r="E367" s="38"/>
      <c r="F367" s="38"/>
      <c r="G367" s="38"/>
      <c r="H367" s="38"/>
      <c r="I367" s="38"/>
      <c r="J367" s="38"/>
      <c r="K367" s="38"/>
      <c r="L367" s="38"/>
      <c r="M367" s="38"/>
      <c r="N367" s="38"/>
      <c r="O367" s="38"/>
      <c r="P367" s="595"/>
      <c r="Q367" s="38"/>
      <c r="R367" s="39"/>
      <c r="S367" s="39"/>
      <c r="T367" s="39"/>
      <c r="U367" s="39"/>
    </row>
    <row r="368" spans="1:25">
      <c r="B368" s="25" t="str">
        <f>IF(Contents!$B$2=2,"Notes:","Примечания: ")</f>
        <v xml:space="preserve">Примечания: </v>
      </c>
      <c r="C368" s="53"/>
      <c r="D368" s="38"/>
      <c r="E368" s="38"/>
      <c r="F368" s="38"/>
      <c r="G368" s="38"/>
      <c r="H368" s="38"/>
      <c r="I368" s="38"/>
      <c r="J368" s="38"/>
      <c r="K368" s="38"/>
      <c r="L368" s="38"/>
      <c r="M368" s="38"/>
      <c r="N368" s="38"/>
      <c r="O368" s="38"/>
      <c r="P368" s="595"/>
      <c r="Q368" s="38"/>
      <c r="R368" s="39"/>
      <c r="S368" s="39"/>
      <c r="T368" s="39"/>
      <c r="U368" s="39"/>
    </row>
    <row r="369" spans="2:23">
      <c r="B369" s="26" t="str">
        <f>IF(Contents!$B$2=2,"Average wages in Yamalo-Nenets Autonomous District (across the region)","Средний уровень заработной платы в ЯНАО (по региону)")</f>
        <v>Средний уровень заработной платы в ЯНАО (по региону)</v>
      </c>
      <c r="C369" s="53" t="str">
        <f>IF(Contents!$B$2=2,"RR th.","тыс. руб.")</f>
        <v>тыс. руб.</v>
      </c>
      <c r="D369" s="110" t="s">
        <v>185</v>
      </c>
      <c r="E369" s="110" t="s">
        <v>185</v>
      </c>
      <c r="F369" s="110" t="s">
        <v>185</v>
      </c>
      <c r="G369" s="110" t="s">
        <v>185</v>
      </c>
      <c r="H369" s="110" t="s">
        <v>185</v>
      </c>
      <c r="I369" s="110" t="s">
        <v>185</v>
      </c>
      <c r="J369" s="110" t="s">
        <v>185</v>
      </c>
      <c r="K369" s="110">
        <v>131</v>
      </c>
      <c r="L369" s="110">
        <v>145</v>
      </c>
      <c r="M369" s="110">
        <v>160</v>
      </c>
      <c r="N369" s="110">
        <v>178</v>
      </c>
      <c r="O369" s="38"/>
      <c r="P369" s="595"/>
      <c r="Q369" s="38"/>
      <c r="R369" s="39"/>
      <c r="S369" s="39"/>
      <c r="T369" s="39"/>
      <c r="U369" s="39"/>
    </row>
    <row r="370" spans="2:23">
      <c r="B370" s="402"/>
      <c r="C370" s="53"/>
      <c r="D370" s="38"/>
      <c r="E370" s="38"/>
      <c r="F370" s="38"/>
      <c r="G370" s="38"/>
      <c r="H370" s="38"/>
      <c r="I370" s="38"/>
      <c r="J370" s="38"/>
      <c r="K370" s="14"/>
      <c r="L370" s="14"/>
      <c r="M370" s="14"/>
      <c r="N370" s="14"/>
      <c r="O370" s="38"/>
      <c r="P370" s="558"/>
      <c r="Q370" s="38"/>
      <c r="R370" s="39"/>
      <c r="S370" s="39"/>
      <c r="T370" s="39"/>
      <c r="U370" s="39"/>
    </row>
    <row r="371" spans="2:23" ht="20.100000000000001" customHeight="1">
      <c r="B371" s="45" t="str">
        <f>IF(Contents!$B$2=2,"Personnel training and development","Обучение и развитие персонала")</f>
        <v>Обучение и развитие персонала</v>
      </c>
      <c r="C371" s="105"/>
      <c r="D371" s="106"/>
      <c r="E371" s="106"/>
      <c r="F371" s="106"/>
      <c r="G371" s="106"/>
      <c r="H371" s="106"/>
      <c r="I371" s="363"/>
      <c r="J371" s="363"/>
      <c r="K371" s="363"/>
      <c r="L371" s="363"/>
      <c r="M371" s="363"/>
      <c r="N371" s="363"/>
      <c r="O371" s="420"/>
      <c r="P371" s="558"/>
      <c r="Q371" s="420"/>
      <c r="R371" s="39"/>
      <c r="S371" s="39"/>
      <c r="T371" s="39"/>
      <c r="U371" s="39"/>
    </row>
    <row r="372" spans="2:23" ht="41.1" customHeight="1">
      <c r="B372" s="216" t="str">
        <f>IF(Contents!$B$2=2,"Total number of training hours","Общее количество часов обучения")</f>
        <v>Общее количество часов обучения</v>
      </c>
      <c r="C372" s="410" t="str">
        <f>IF(Contents!$B$2=2,"hours","часов")</f>
        <v>часов</v>
      </c>
      <c r="D372" s="411">
        <v>156658</v>
      </c>
      <c r="E372" s="411">
        <v>909212</v>
      </c>
      <c r="F372" s="411">
        <v>313947</v>
      </c>
      <c r="G372" s="411">
        <v>379790</v>
      </c>
      <c r="H372" s="411">
        <v>389484</v>
      </c>
      <c r="I372" s="411">
        <v>517594</v>
      </c>
      <c r="J372" s="411">
        <v>756125</v>
      </c>
      <c r="K372" s="411">
        <v>1064289</v>
      </c>
      <c r="L372" s="411">
        <v>1128320</v>
      </c>
      <c r="M372" s="411">
        <v>1310323</v>
      </c>
      <c r="N372" s="411">
        <v>1102944</v>
      </c>
      <c r="O372" s="420"/>
      <c r="P372" s="558" t="str">
        <f>IF(Contents!$B$2=2,"Yes","Да")</f>
        <v>Да</v>
      </c>
      <c r="Q372" s="864"/>
      <c r="R372" s="39"/>
      <c r="S372" s="39"/>
      <c r="T372" s="39"/>
      <c r="U372" s="39"/>
      <c r="W372" s="933">
        <v>1</v>
      </c>
    </row>
    <row r="373" spans="2:23" ht="23.45" customHeight="1">
      <c r="B373" s="364" t="str">
        <f>IF(Contents!$B$2=2,"by gender","по полу")</f>
        <v>по полу</v>
      </c>
      <c r="C373" s="77"/>
      <c r="D373" s="111"/>
      <c r="E373" s="111"/>
      <c r="F373" s="111"/>
      <c r="G373" s="111"/>
      <c r="H373" s="111"/>
      <c r="I373" s="85"/>
      <c r="J373" s="111"/>
      <c r="K373" s="111"/>
      <c r="L373" s="111"/>
      <c r="M373" s="111"/>
      <c r="N373" s="111"/>
      <c r="O373" s="37"/>
      <c r="P373" s="558"/>
      <c r="Q373" s="864"/>
      <c r="R373" s="187"/>
      <c r="S373" s="39"/>
      <c r="T373" s="39"/>
      <c r="U373" s="39"/>
    </row>
    <row r="374" spans="2:23" ht="23.45" customHeight="1">
      <c r="B374" s="93" t="str">
        <f>IF(Contents!$B$2=2,"Male","Мужчины")</f>
        <v>Мужчины</v>
      </c>
      <c r="C374" s="412" t="str">
        <f>IF(Contents!$B$2=2,"hours","часов")</f>
        <v>часов</v>
      </c>
      <c r="D374" s="91">
        <v>137669</v>
      </c>
      <c r="E374" s="91">
        <v>873688</v>
      </c>
      <c r="F374" s="91">
        <v>286551</v>
      </c>
      <c r="G374" s="91">
        <v>347299</v>
      </c>
      <c r="H374" s="91">
        <v>342339</v>
      </c>
      <c r="I374" s="91">
        <v>482704</v>
      </c>
      <c r="J374" s="91">
        <v>704746</v>
      </c>
      <c r="K374" s="91">
        <v>983186</v>
      </c>
      <c r="L374" s="91">
        <v>1044513</v>
      </c>
      <c r="M374" s="91">
        <v>1240933</v>
      </c>
      <c r="N374" s="793">
        <v>1038358</v>
      </c>
      <c r="O374" s="420"/>
      <c r="P374" s="558"/>
      <c r="Q374" s="864"/>
      <c r="R374" s="39"/>
      <c r="S374" s="39"/>
      <c r="T374" s="39"/>
      <c r="U374" s="39"/>
      <c r="W374" s="933">
        <v>1</v>
      </c>
    </row>
    <row r="375" spans="2:23" ht="21.6" customHeight="1">
      <c r="B375" s="93" t="str">
        <f>IF(Contents!$B$2=2,"Female","Женщины")</f>
        <v>Женщины</v>
      </c>
      <c r="C375" s="412" t="str">
        <f>IF(Contents!$B$2=2,"hours","часов")</f>
        <v>часов</v>
      </c>
      <c r="D375" s="91">
        <v>18989</v>
      </c>
      <c r="E375" s="91">
        <v>35524</v>
      </c>
      <c r="F375" s="91">
        <v>27396</v>
      </c>
      <c r="G375" s="91">
        <v>32491</v>
      </c>
      <c r="H375" s="91">
        <v>47145</v>
      </c>
      <c r="I375" s="91">
        <v>34890</v>
      </c>
      <c r="J375" s="91">
        <v>51379</v>
      </c>
      <c r="K375" s="91">
        <v>81103</v>
      </c>
      <c r="L375" s="91">
        <v>83807</v>
      </c>
      <c r="M375" s="91">
        <v>69390</v>
      </c>
      <c r="N375" s="793">
        <v>64586</v>
      </c>
      <c r="O375" s="420"/>
      <c r="P375" s="558"/>
      <c r="Q375" s="864"/>
      <c r="R375" s="39"/>
      <c r="S375" s="39"/>
      <c r="T375" s="39"/>
      <c r="U375" s="39"/>
      <c r="W375" s="933">
        <v>1</v>
      </c>
    </row>
    <row r="376" spans="2:23" ht="26.1" customHeight="1">
      <c r="B376" s="23" t="str">
        <f>IF(Contents!$B$2=2,"by position","по должностям")</f>
        <v>по должностям</v>
      </c>
      <c r="C376" s="77"/>
      <c r="D376" s="111"/>
      <c r="E376" s="111"/>
      <c r="F376" s="111"/>
      <c r="G376" s="111"/>
      <c r="H376" s="111"/>
      <c r="I376" s="413"/>
      <c r="J376" s="85"/>
      <c r="K376" s="85"/>
      <c r="L376" s="85"/>
      <c r="M376" s="85"/>
      <c r="N376" s="85"/>
      <c r="O376" s="29"/>
      <c r="P376" s="558" t="str">
        <f>IF(Contents!$B$2=2,"Yes","Да")</f>
        <v>Да</v>
      </c>
      <c r="Q376" s="864"/>
      <c r="R376" s="187" t="s">
        <v>137</v>
      </c>
      <c r="S376" s="39"/>
      <c r="T376" s="39" t="s">
        <v>138</v>
      </c>
      <c r="U376" s="39"/>
    </row>
    <row r="377" spans="2:23" ht="27" customHeight="1">
      <c r="B377" s="78" t="str">
        <f>IF(Contents!$B$2=2,"Managers","Руководители")</f>
        <v>Руководители</v>
      </c>
      <c r="C377" s="412" t="str">
        <f>IF(Contents!$B$2=2,"hours","часов")</f>
        <v>часов</v>
      </c>
      <c r="D377" s="46" t="s">
        <v>185</v>
      </c>
      <c r="E377" s="46" t="s">
        <v>185</v>
      </c>
      <c r="F377" s="46" t="s">
        <v>185</v>
      </c>
      <c r="G377" s="46" t="s">
        <v>185</v>
      </c>
      <c r="H377" s="46" t="s">
        <v>185</v>
      </c>
      <c r="I377" s="46" t="s">
        <v>185</v>
      </c>
      <c r="J377" s="46" t="s">
        <v>185</v>
      </c>
      <c r="K377" s="38">
        <v>301911</v>
      </c>
      <c r="L377" s="38">
        <v>281356</v>
      </c>
      <c r="M377" s="38">
        <v>256013</v>
      </c>
      <c r="N377" s="89">
        <v>261204</v>
      </c>
      <c r="O377" s="421"/>
      <c r="P377" s="558"/>
      <c r="Q377" s="864"/>
      <c r="R377" s="187"/>
      <c r="S377" s="39"/>
      <c r="T377" s="39"/>
      <c r="U377" s="39"/>
      <c r="W377" s="933">
        <v>1</v>
      </c>
    </row>
    <row r="378" spans="2:23" ht="22.5" customHeight="1">
      <c r="B378" s="87" t="str">
        <f>IF(Contents!$B$2=2,"White-collar employees","Специалисты и служащие")</f>
        <v>Специалисты и служащие</v>
      </c>
      <c r="C378" s="412" t="str">
        <f>IF(Contents!$B$2=2,"hours","часов")</f>
        <v>часов</v>
      </c>
      <c r="D378" s="46" t="s">
        <v>185</v>
      </c>
      <c r="E378" s="46" t="s">
        <v>185</v>
      </c>
      <c r="F378" s="46" t="s">
        <v>185</v>
      </c>
      <c r="G378" s="46" t="s">
        <v>185</v>
      </c>
      <c r="H378" s="46" t="s">
        <v>185</v>
      </c>
      <c r="I378" s="46" t="s">
        <v>185</v>
      </c>
      <c r="J378" s="46" t="s">
        <v>185</v>
      </c>
      <c r="K378" s="38">
        <v>289952</v>
      </c>
      <c r="L378" s="38">
        <v>340885</v>
      </c>
      <c r="M378" s="365">
        <v>431373</v>
      </c>
      <c r="N378" s="89">
        <v>312542</v>
      </c>
      <c r="O378" s="421"/>
      <c r="P378" s="558"/>
      <c r="Q378" s="864"/>
      <c r="R378" s="39"/>
      <c r="S378" s="39"/>
      <c r="T378" s="39"/>
      <c r="U378" s="39"/>
      <c r="W378" s="933">
        <v>1</v>
      </c>
    </row>
    <row r="379" spans="2:23" ht="22.5" customHeight="1">
      <c r="B379" s="78" t="str">
        <f>IF(Contents!$B$2=2,"Blue-collar employees","Рабочие")</f>
        <v>Рабочие</v>
      </c>
      <c r="C379" s="412" t="str">
        <f>IF(Contents!$B$2=2,"hours","часов")</f>
        <v>часов</v>
      </c>
      <c r="D379" s="46" t="s">
        <v>185</v>
      </c>
      <c r="E379" s="46" t="s">
        <v>185</v>
      </c>
      <c r="F379" s="46" t="s">
        <v>185</v>
      </c>
      <c r="G379" s="46" t="s">
        <v>185</v>
      </c>
      <c r="H379" s="46" t="s">
        <v>185</v>
      </c>
      <c r="I379" s="46" t="s">
        <v>185</v>
      </c>
      <c r="J379" s="46" t="s">
        <v>185</v>
      </c>
      <c r="K379" s="38">
        <v>472427</v>
      </c>
      <c r="L379" s="38">
        <v>506279</v>
      </c>
      <c r="M379" s="38">
        <v>622937</v>
      </c>
      <c r="N379" s="89">
        <v>529198</v>
      </c>
      <c r="O379" s="421"/>
      <c r="P379" s="558"/>
      <c r="Q379" s="864"/>
      <c r="R379" s="39"/>
      <c r="S379" s="39"/>
      <c r="T379" s="39"/>
      <c r="U379" s="39"/>
      <c r="W379" s="933">
        <v>1</v>
      </c>
    </row>
    <row r="380" spans="2:23" ht="22.5" customHeight="1">
      <c r="B380" s="78"/>
      <c r="C380" s="412"/>
      <c r="D380" s="46"/>
      <c r="E380" s="46"/>
      <c r="F380" s="46"/>
      <c r="G380" s="46"/>
      <c r="H380" s="46"/>
      <c r="I380" s="38"/>
      <c r="J380" s="46"/>
      <c r="K380" s="38"/>
      <c r="L380" s="38"/>
      <c r="M380" s="38"/>
      <c r="N380" s="38"/>
      <c r="O380" s="421"/>
      <c r="P380" s="558"/>
      <c r="Q380" s="421"/>
      <c r="R380" s="39"/>
      <c r="S380" s="39"/>
      <c r="T380" s="39"/>
      <c r="U380" s="39"/>
    </row>
    <row r="381" spans="2:23" ht="47.45" customHeight="1">
      <c r="B381" s="48" t="str">
        <f>IF(Contents!$B$2=2,"Average training hours per employee (year-end headcount)","Среднее количество часов обучения на одного работника (на списочную численность на конец года)")</f>
        <v>Среднее количество часов обучения на одного работника (на списочную численность на конец года)</v>
      </c>
      <c r="C381" s="49" t="str">
        <f>IF(Contents!$B$2=2,"hours","часов")</f>
        <v>часов</v>
      </c>
      <c r="D381" s="51">
        <v>15</v>
      </c>
      <c r="E381" s="51">
        <v>79</v>
      </c>
      <c r="F381" s="51">
        <v>26</v>
      </c>
      <c r="G381" s="51">
        <v>27</v>
      </c>
      <c r="H381" s="51">
        <v>25</v>
      </c>
      <c r="I381" s="51">
        <v>31</v>
      </c>
      <c r="J381" s="51">
        <v>41</v>
      </c>
      <c r="K381" s="51">
        <v>54</v>
      </c>
      <c r="L381" s="51">
        <v>54</v>
      </c>
      <c r="M381" s="51">
        <v>59</v>
      </c>
      <c r="N381" s="51">
        <v>47</v>
      </c>
      <c r="O381" s="879"/>
      <c r="P381" s="558" t="str">
        <f>IF(Contents!$B$2=2,"Yes","Да")</f>
        <v>Да</v>
      </c>
      <c r="Q381" s="164"/>
      <c r="R381" s="187" t="s">
        <v>137</v>
      </c>
      <c r="S381" s="39"/>
      <c r="T381" s="39" t="s">
        <v>138</v>
      </c>
      <c r="U381" s="39" t="str">
        <f>IF(Contents!$B$2=2,"PBCS 32","СОКБ 32")</f>
        <v>СОКБ 32</v>
      </c>
      <c r="W381" s="933">
        <v>1</v>
      </c>
    </row>
    <row r="382" spans="2:23" ht="22.5" customHeight="1">
      <c r="B382" s="364" t="str">
        <f>IF(Contents!$B$2=2,"by gender","по полу")</f>
        <v>по полу</v>
      </c>
      <c r="C382" s="77"/>
      <c r="D382" s="111"/>
      <c r="E382" s="111"/>
      <c r="F382" s="111"/>
      <c r="G382" s="111"/>
      <c r="H382" s="111"/>
      <c r="I382" s="85"/>
      <c r="J382" s="111"/>
      <c r="K382" s="111"/>
      <c r="L382" s="111"/>
      <c r="M382" s="111"/>
      <c r="N382" s="111"/>
      <c r="O382" s="37"/>
      <c r="P382" s="558"/>
      <c r="Q382" s="164"/>
      <c r="R382" s="187"/>
      <c r="S382" s="39"/>
      <c r="T382" s="39"/>
      <c r="U382" s="39"/>
    </row>
    <row r="383" spans="2:23" ht="22.5" customHeight="1">
      <c r="B383" s="93" t="str">
        <f>IF(Contents!$B$2=2,"Male","Мужчины")</f>
        <v>Мужчины</v>
      </c>
      <c r="C383" s="412" t="str">
        <f>IF(Contents!$B$2=2,"hours","часов")</f>
        <v>часов</v>
      </c>
      <c r="D383" s="38">
        <v>18</v>
      </c>
      <c r="E383" s="38">
        <v>101</v>
      </c>
      <c r="F383" s="38">
        <v>31</v>
      </c>
      <c r="G383" s="38">
        <v>32</v>
      </c>
      <c r="H383" s="38">
        <v>29</v>
      </c>
      <c r="I383" s="38">
        <v>37</v>
      </c>
      <c r="J383" s="38">
        <v>49</v>
      </c>
      <c r="K383" s="38">
        <v>64</v>
      </c>
      <c r="L383" s="38">
        <v>63</v>
      </c>
      <c r="M383" s="38">
        <v>71</v>
      </c>
      <c r="N383" s="89">
        <v>55</v>
      </c>
      <c r="O383" s="879"/>
      <c r="P383" s="558" t="str">
        <f>IF(Contents!$B$2=2,"Yes","Да")</f>
        <v>Да</v>
      </c>
      <c r="Q383" s="164"/>
      <c r="R383" s="39"/>
      <c r="S383" s="39"/>
      <c r="T383" s="39"/>
      <c r="U383" s="39"/>
      <c r="W383" s="933">
        <v>1</v>
      </c>
    </row>
    <row r="384" spans="2:23" ht="22.5" customHeight="1">
      <c r="B384" s="93" t="str">
        <f>IF(Contents!$B$2=2,"Female","Женщины")</f>
        <v>Женщины</v>
      </c>
      <c r="C384" s="412" t="str">
        <f>IF(Contents!$B$2=2,"hours","часов")</f>
        <v>часов</v>
      </c>
      <c r="D384" s="38">
        <v>7</v>
      </c>
      <c r="E384" s="38">
        <v>12</v>
      </c>
      <c r="F384" s="38">
        <v>9</v>
      </c>
      <c r="G384" s="38">
        <v>10</v>
      </c>
      <c r="H384" s="38">
        <v>13</v>
      </c>
      <c r="I384" s="38">
        <v>9</v>
      </c>
      <c r="J384" s="38">
        <v>13</v>
      </c>
      <c r="K384" s="38">
        <v>19</v>
      </c>
      <c r="L384" s="38">
        <v>19</v>
      </c>
      <c r="M384" s="38">
        <v>15</v>
      </c>
      <c r="N384" s="89">
        <v>14</v>
      </c>
      <c r="O384" s="879"/>
      <c r="P384" s="558" t="str">
        <f>IF(Contents!$B$2=2,"Yes","Да")</f>
        <v>Да</v>
      </c>
      <c r="Q384" s="164"/>
      <c r="R384" s="39"/>
      <c r="S384" s="39"/>
      <c r="T384" s="39"/>
      <c r="U384" s="39"/>
      <c r="W384" s="933">
        <v>1</v>
      </c>
    </row>
    <row r="385" spans="2:24" ht="33.6" customHeight="1">
      <c r="B385" s="23" t="str">
        <f>IF(Contents!$B$2=2,"by position","по должностям")</f>
        <v>по должностям</v>
      </c>
      <c r="C385" s="77"/>
      <c r="D385" s="111"/>
      <c r="E385" s="111"/>
      <c r="F385" s="111"/>
      <c r="G385" s="111"/>
      <c r="H385" s="111"/>
      <c r="I385" s="413"/>
      <c r="J385" s="85"/>
      <c r="K385" s="85"/>
      <c r="L385" s="85"/>
      <c r="M385" s="85"/>
      <c r="N385" s="85"/>
      <c r="O385" s="29"/>
      <c r="P385" s="558"/>
      <c r="Q385" s="164"/>
      <c r="R385" s="187" t="s">
        <v>137</v>
      </c>
      <c r="S385" s="39"/>
      <c r="T385" s="39" t="s">
        <v>138</v>
      </c>
      <c r="U385" s="39"/>
    </row>
    <row r="386" spans="2:24" ht="27" customHeight="1">
      <c r="B386" s="78" t="str">
        <f>IF(Contents!$B$2=2,"Managers","Руководители")</f>
        <v>Руководители</v>
      </c>
      <c r="C386" s="412" t="str">
        <f>IF(Contents!$B$2=2,"hours","часов")</f>
        <v>часов</v>
      </c>
      <c r="D386" s="46">
        <v>31</v>
      </c>
      <c r="E386" s="46">
        <v>40</v>
      </c>
      <c r="F386" s="46">
        <v>33</v>
      </c>
      <c r="G386" s="46">
        <v>30</v>
      </c>
      <c r="H386" s="46">
        <v>38</v>
      </c>
      <c r="I386" s="38">
        <v>49</v>
      </c>
      <c r="J386" s="38">
        <v>57</v>
      </c>
      <c r="K386" s="82">
        <v>78</v>
      </c>
      <c r="L386" s="38">
        <v>68</v>
      </c>
      <c r="M386" s="38">
        <v>60</v>
      </c>
      <c r="N386" s="89">
        <v>59</v>
      </c>
      <c r="O386" s="879"/>
      <c r="P386" s="558" t="str">
        <f>IF(Contents!$B$2=2,"Yes","Да")</f>
        <v>Да</v>
      </c>
      <c r="Q386" s="421"/>
      <c r="R386" s="187"/>
      <c r="S386" s="39"/>
      <c r="T386" s="39"/>
      <c r="U386" s="39"/>
      <c r="W386" s="933">
        <v>1</v>
      </c>
    </row>
    <row r="387" spans="2:24" ht="22.5" customHeight="1">
      <c r="B387" s="87" t="str">
        <f>IF(Contents!$B$2=2,"White-collar employees","Специалисты и служащие")</f>
        <v>Специалисты и служащие</v>
      </c>
      <c r="C387" s="412" t="str">
        <f>IF(Contents!$B$2=2,"hours","часов")</f>
        <v>часов</v>
      </c>
      <c r="D387" s="46">
        <v>44</v>
      </c>
      <c r="E387" s="46">
        <v>64</v>
      </c>
      <c r="F387" s="46">
        <v>40</v>
      </c>
      <c r="G387" s="46">
        <v>45</v>
      </c>
      <c r="H387" s="46">
        <v>40</v>
      </c>
      <c r="I387" s="38">
        <v>44</v>
      </c>
      <c r="J387" s="38">
        <v>36</v>
      </c>
      <c r="K387" s="414">
        <v>40</v>
      </c>
      <c r="L387" s="38">
        <v>42</v>
      </c>
      <c r="M387" s="38">
        <v>51</v>
      </c>
      <c r="N387" s="89">
        <v>32</v>
      </c>
      <c r="O387" s="879"/>
      <c r="P387" s="558" t="str">
        <f>IF(Contents!$B$2=2,"Yes","Да")</f>
        <v>Да</v>
      </c>
      <c r="Q387" s="421"/>
      <c r="R387" s="39"/>
      <c r="S387" s="39"/>
      <c r="T387" s="39"/>
      <c r="U387" s="39"/>
      <c r="W387" s="933">
        <v>1</v>
      </c>
    </row>
    <row r="388" spans="2:24" ht="22.5" customHeight="1">
      <c r="B388" s="78" t="str">
        <f>IF(Contents!$B$2=2,"Blue-collar employees","Рабочие")</f>
        <v>Рабочие</v>
      </c>
      <c r="C388" s="412" t="str">
        <f>IF(Contents!$B$2=2,"hours","часов")</f>
        <v>часов</v>
      </c>
      <c r="D388" s="46">
        <v>53</v>
      </c>
      <c r="E388" s="46">
        <v>242</v>
      </c>
      <c r="F388" s="46">
        <v>66</v>
      </c>
      <c r="G388" s="46">
        <v>51</v>
      </c>
      <c r="H388" s="46">
        <v>52</v>
      </c>
      <c r="I388" s="38">
        <v>54</v>
      </c>
      <c r="J388" s="38">
        <v>39</v>
      </c>
      <c r="K388" s="82">
        <v>56</v>
      </c>
      <c r="L388" s="38">
        <v>57</v>
      </c>
      <c r="M388" s="38">
        <v>67</v>
      </c>
      <c r="N388" s="89">
        <v>57</v>
      </c>
      <c r="O388" s="879"/>
      <c r="P388" s="558" t="str">
        <f>IF(Contents!$B$2=2,"Yes","Да")</f>
        <v>Да</v>
      </c>
      <c r="Q388" s="421"/>
      <c r="R388" s="39"/>
      <c r="S388" s="39"/>
      <c r="T388" s="39"/>
      <c r="U388" s="39"/>
      <c r="W388" s="933">
        <v>1</v>
      </c>
    </row>
    <row r="389" spans="2:24">
      <c r="B389" s="78"/>
      <c r="C389" s="412"/>
      <c r="D389" s="46"/>
      <c r="E389" s="46"/>
      <c r="F389" s="46"/>
      <c r="G389" s="46"/>
      <c r="H389" s="46"/>
      <c r="I389" s="38"/>
      <c r="J389" s="38"/>
      <c r="K389" s="38"/>
      <c r="L389" s="38"/>
      <c r="M389" s="38"/>
      <c r="N389" s="38"/>
      <c r="O389" s="421"/>
      <c r="P389" s="558"/>
      <c r="Q389" s="421"/>
      <c r="R389" s="39"/>
      <c r="S389" s="39"/>
      <c r="T389" s="39"/>
      <c r="U389" s="39"/>
    </row>
    <row r="390" spans="2:24" ht="22.5" customHeight="1">
      <c r="B390" s="398" t="str">
        <f>IF(Contents!$B$2=2,"Employee training expenses","Расходы на обучение работников")</f>
        <v>Расходы на обучение работников</v>
      </c>
      <c r="C390" s="399" t="str">
        <f>IF(Contents!$B$2=2,"RR mln","млн руб.")</f>
        <v>млн руб.</v>
      </c>
      <c r="D390" s="415" t="s">
        <v>185</v>
      </c>
      <c r="E390" s="415" t="s">
        <v>185</v>
      </c>
      <c r="F390" s="415" t="s">
        <v>185</v>
      </c>
      <c r="G390" s="415">
        <v>110</v>
      </c>
      <c r="H390" s="415">
        <v>90</v>
      </c>
      <c r="I390" s="415">
        <v>51</v>
      </c>
      <c r="J390" s="415">
        <v>88</v>
      </c>
      <c r="K390" s="415">
        <v>80.5</v>
      </c>
      <c r="L390" s="415">
        <v>174.5</v>
      </c>
      <c r="M390" s="415">
        <v>198</v>
      </c>
      <c r="N390" s="400">
        <v>217</v>
      </c>
      <c r="O390" s="887"/>
      <c r="P390" s="558"/>
      <c r="Q390" s="29"/>
      <c r="R390" s="39"/>
      <c r="S390" s="39"/>
      <c r="T390" s="39"/>
      <c r="U390" s="39" t="str">
        <f>IF(Contents!$B$2=2,"PBCS 31","СОКБ 31")</f>
        <v>СОКБ 31</v>
      </c>
      <c r="W390" s="933">
        <v>2</v>
      </c>
    </row>
    <row r="391" spans="2:24" ht="39.950000000000003" customHeight="1">
      <c r="B391" s="392" t="str">
        <f>IF(Contents!$B$2=2,"Average expenses per employee (average headcount)","Расходы в среднем на одного работника (на среднесписочную численность)")</f>
        <v>Расходы в среднем на одного работника (на среднесписочную численность)</v>
      </c>
      <c r="C391" s="412" t="str">
        <f>IF(Contents!$B$2=2,"RR th.","тыс. руб.")</f>
        <v>тыс. руб.</v>
      </c>
      <c r="D391" s="38" t="s">
        <v>185</v>
      </c>
      <c r="E391" s="38" t="s">
        <v>185</v>
      </c>
      <c r="F391" s="38" t="s">
        <v>185</v>
      </c>
      <c r="G391" s="378">
        <v>8.4</v>
      </c>
      <c r="H391" s="378">
        <v>6.3</v>
      </c>
      <c r="I391" s="378">
        <v>3.2</v>
      </c>
      <c r="J391" s="378">
        <v>5.0999999999999996</v>
      </c>
      <c r="K391" s="378">
        <v>4.3</v>
      </c>
      <c r="L391" s="378">
        <v>8.8000000000000007</v>
      </c>
      <c r="M391" s="378">
        <v>9.4</v>
      </c>
      <c r="N391" s="97">
        <v>9.6</v>
      </c>
      <c r="O391" s="878"/>
      <c r="P391" s="558"/>
      <c r="Q391" s="29"/>
      <c r="R391" s="39"/>
      <c r="S391" s="39"/>
      <c r="T391" s="39"/>
      <c r="U391" s="39" t="str">
        <f>IF(Contents!$B$2=2,"PBCS 31","СОКБ 31")</f>
        <v>СОКБ 31</v>
      </c>
      <c r="W391" s="933">
        <v>2</v>
      </c>
    </row>
    <row r="392" spans="2:24">
      <c r="B392" s="52"/>
      <c r="C392" s="412"/>
      <c r="D392" s="38"/>
      <c r="E392" s="38"/>
      <c r="F392" s="38"/>
      <c r="G392" s="405"/>
      <c r="H392" s="405"/>
      <c r="I392" s="405"/>
      <c r="J392" s="405"/>
      <c r="K392" s="38"/>
      <c r="L392" s="405"/>
      <c r="M392" s="405"/>
      <c r="N392" s="405"/>
      <c r="O392" s="29"/>
      <c r="P392" s="558"/>
      <c r="Q392" s="29"/>
      <c r="R392" s="39"/>
      <c r="S392" s="39"/>
      <c r="T392" s="39"/>
      <c r="U392" s="39"/>
    </row>
    <row r="393" spans="2:24">
      <c r="B393" s="25" t="str">
        <f>IF(Contents!$B$2=2,"Notes:","Примечания: ")</f>
        <v xml:space="preserve">Примечания: </v>
      </c>
      <c r="C393" s="61"/>
      <c r="D393" s="108"/>
      <c r="E393" s="108"/>
      <c r="F393" s="108"/>
      <c r="G393" s="108"/>
      <c r="H393" s="108"/>
      <c r="I393" s="108"/>
      <c r="J393" s="108"/>
      <c r="K393" s="108"/>
      <c r="L393" s="108"/>
      <c r="M393" s="108"/>
      <c r="N393" s="109"/>
      <c r="O393" s="29"/>
      <c r="P393" s="558"/>
      <c r="Q393" s="29"/>
      <c r="R393" s="39"/>
      <c r="S393" s="39"/>
      <c r="T393" s="39"/>
      <c r="U393" s="39"/>
    </row>
    <row r="394" spans="2:24" ht="27" customHeight="1">
      <c r="B394" s="65" t="str">
        <f>IF(Contents!$B$2=2,"Revenue","Выручка")</f>
        <v>Выручка</v>
      </c>
      <c r="C394" s="53" t="str">
        <f>IF(Contents!$B$2=2,"RR mln","млн руб.")</f>
        <v>млн руб.</v>
      </c>
      <c r="D394" s="110">
        <v>475325</v>
      </c>
      <c r="E394" s="110">
        <v>537472</v>
      </c>
      <c r="F394" s="110">
        <v>583186</v>
      </c>
      <c r="G394" s="110">
        <v>831758</v>
      </c>
      <c r="H394" s="110">
        <v>862803</v>
      </c>
      <c r="I394" s="110">
        <v>711812</v>
      </c>
      <c r="J394" s="110">
        <v>1156724</v>
      </c>
      <c r="K394" s="110" t="s">
        <v>185</v>
      </c>
      <c r="L394" s="110">
        <v>1371508</v>
      </c>
      <c r="M394" s="110">
        <v>1545851</v>
      </c>
      <c r="N394" s="110">
        <v>1445593</v>
      </c>
      <c r="O394" s="877"/>
      <c r="P394" s="558"/>
      <c r="Q394" s="29"/>
      <c r="R394" s="39"/>
      <c r="S394" s="39"/>
      <c r="T394" s="39"/>
      <c r="U394" s="39"/>
    </row>
    <row r="395" spans="2:24" ht="22.5" customHeight="1">
      <c r="B395" s="396"/>
      <c r="C395" s="412"/>
      <c r="D395" s="38"/>
      <c r="E395" s="38"/>
      <c r="F395" s="38"/>
      <c r="G395" s="38"/>
      <c r="H395" s="38"/>
      <c r="I395" s="38"/>
      <c r="J395" s="38"/>
      <c r="K395" s="38"/>
      <c r="L395" s="38"/>
      <c r="M395" s="38"/>
      <c r="N395" s="38"/>
      <c r="O395" s="29"/>
      <c r="P395" s="558"/>
      <c r="Q395" s="29"/>
      <c r="R395" s="39"/>
      <c r="S395" s="39"/>
      <c r="T395" s="39"/>
      <c r="U395" s="39"/>
    </row>
    <row r="396" spans="2:24" ht="39.6" customHeight="1">
      <c r="B396" s="48" t="str">
        <f>IF(Contents!$B$2=2,"Employees receiving regular performance and career development reviews","Работники, прошедшие оценку результативности и развития карьеры")</f>
        <v>Работники, прошедшие оценку результативности и развития карьеры</v>
      </c>
      <c r="C396" s="49" t="str">
        <f>IF(Contents!$B$2=2,"people"," человек")</f>
        <v xml:space="preserve"> человек</v>
      </c>
      <c r="D396" s="415" t="s">
        <v>185</v>
      </c>
      <c r="E396" s="415" t="s">
        <v>185</v>
      </c>
      <c r="F396" s="415" t="s">
        <v>185</v>
      </c>
      <c r="G396" s="415" t="s">
        <v>185</v>
      </c>
      <c r="H396" s="415" t="s">
        <v>185</v>
      </c>
      <c r="I396" s="415" t="s">
        <v>185</v>
      </c>
      <c r="J396" s="415" t="s">
        <v>185</v>
      </c>
      <c r="K396" s="415" t="s">
        <v>185</v>
      </c>
      <c r="L396" s="415" t="s">
        <v>185</v>
      </c>
      <c r="M396" s="411">
        <v>1209</v>
      </c>
      <c r="N396" s="411">
        <v>1716</v>
      </c>
      <c r="O396" s="164"/>
      <c r="P396" s="558"/>
      <c r="Q396" s="164"/>
      <c r="R396" s="39" t="s">
        <v>139</v>
      </c>
      <c r="S396" s="39"/>
      <c r="T396" s="39"/>
      <c r="U396" s="39"/>
      <c r="W396" s="933">
        <v>1</v>
      </c>
      <c r="X396" s="558"/>
    </row>
    <row r="397" spans="2:24" ht="22.5" customHeight="1">
      <c r="B397" s="93" t="str">
        <f>IF(Contents!$B$2=2,"Male","Мужчины")</f>
        <v>Мужчины</v>
      </c>
      <c r="C397" s="412" t="str">
        <f>IF(Contents!$B$2=2,"people"," человек")</f>
        <v xml:space="preserve"> человек</v>
      </c>
      <c r="D397" s="38" t="s">
        <v>185</v>
      </c>
      <c r="E397" s="38" t="s">
        <v>185</v>
      </c>
      <c r="F397" s="38" t="s">
        <v>185</v>
      </c>
      <c r="G397" s="38" t="s">
        <v>185</v>
      </c>
      <c r="H397" s="38" t="s">
        <v>185</v>
      </c>
      <c r="I397" s="38" t="s">
        <v>185</v>
      </c>
      <c r="J397" s="38" t="s">
        <v>185</v>
      </c>
      <c r="K397" s="38" t="s">
        <v>185</v>
      </c>
      <c r="L397" s="38" t="s">
        <v>185</v>
      </c>
      <c r="M397" s="38">
        <v>1101</v>
      </c>
      <c r="N397" s="104">
        <v>1625</v>
      </c>
      <c r="O397" s="164"/>
      <c r="P397" s="558"/>
      <c r="Q397" s="164"/>
      <c r="R397" s="39"/>
      <c r="S397" s="39"/>
      <c r="T397" s="39"/>
      <c r="U397" s="39"/>
      <c r="W397" s="933">
        <v>1</v>
      </c>
    </row>
    <row r="398" spans="2:24">
      <c r="B398" s="93" t="str">
        <f>IF(Contents!$B$2=2,"Female","Женщины")</f>
        <v>Женщины</v>
      </c>
      <c r="C398" s="412" t="str">
        <f>IF(Contents!$B$2=2,"people"," человек")</f>
        <v xml:space="preserve"> человек</v>
      </c>
      <c r="D398" s="38" t="s">
        <v>185</v>
      </c>
      <c r="E398" s="38" t="s">
        <v>185</v>
      </c>
      <c r="F398" s="38" t="s">
        <v>185</v>
      </c>
      <c r="G398" s="38" t="s">
        <v>185</v>
      </c>
      <c r="H398" s="38" t="s">
        <v>185</v>
      </c>
      <c r="I398" s="38" t="s">
        <v>185</v>
      </c>
      <c r="J398" s="38" t="s">
        <v>185</v>
      </c>
      <c r="K398" s="38" t="s">
        <v>185</v>
      </c>
      <c r="L398" s="38" t="s">
        <v>185</v>
      </c>
      <c r="M398" s="38">
        <v>108</v>
      </c>
      <c r="N398" s="104">
        <v>91</v>
      </c>
      <c r="O398" s="164"/>
      <c r="P398" s="558"/>
      <c r="Q398" s="164"/>
      <c r="R398" s="39"/>
      <c r="S398" s="39"/>
      <c r="T398" s="39"/>
      <c r="U398" s="39"/>
      <c r="W398" s="933">
        <v>1</v>
      </c>
    </row>
    <row r="399" spans="2:24" ht="37.5" customHeight="1">
      <c r="B399" s="52" t="str">
        <f>IF(Contents!$B$2=2,"Percentage of employees assessed for performance and career development","Доля работников, прошедших оценку результативности и развития карьеры")</f>
        <v>Доля работников, прошедших оценку результативности и развития карьеры</v>
      </c>
      <c r="C399" s="53" t="s">
        <v>0</v>
      </c>
      <c r="D399" s="38" t="s">
        <v>185</v>
      </c>
      <c r="E399" s="38" t="s">
        <v>185</v>
      </c>
      <c r="F399" s="38" t="s">
        <v>185</v>
      </c>
      <c r="G399" s="38" t="s">
        <v>185</v>
      </c>
      <c r="H399" s="38" t="s">
        <v>185</v>
      </c>
      <c r="I399" s="38" t="s">
        <v>185</v>
      </c>
      <c r="J399" s="38" t="s">
        <v>185</v>
      </c>
      <c r="K399" s="38" t="s">
        <v>185</v>
      </c>
      <c r="L399" s="38" t="s">
        <v>185</v>
      </c>
      <c r="M399" s="38">
        <v>5.4864766745325833</v>
      </c>
      <c r="N399" s="104">
        <v>7.2733437884118164</v>
      </c>
      <c r="O399" s="193"/>
      <c r="P399" s="558" t="str">
        <f>IF(Contents!$B$2=2,"Yes","Да")</f>
        <v>Да</v>
      </c>
      <c r="Q399" s="164"/>
      <c r="R399" s="39"/>
      <c r="S399" s="39"/>
      <c r="T399" s="39"/>
      <c r="U399" s="39"/>
      <c r="W399" s="933">
        <v>1</v>
      </c>
    </row>
    <row r="400" spans="2:24" ht="22.5" customHeight="1">
      <c r="B400" s="93" t="str">
        <f>IF(Contents!$B$2=2,"Male","Мужчины")</f>
        <v>Мужчины</v>
      </c>
      <c r="C400" s="412" t="s">
        <v>0</v>
      </c>
      <c r="D400" s="38" t="s">
        <v>185</v>
      </c>
      <c r="E400" s="38" t="s">
        <v>185</v>
      </c>
      <c r="F400" s="38" t="s">
        <v>185</v>
      </c>
      <c r="G400" s="38" t="s">
        <v>185</v>
      </c>
      <c r="H400" s="38" t="s">
        <v>185</v>
      </c>
      <c r="I400" s="38" t="s">
        <v>185</v>
      </c>
      <c r="J400" s="38" t="s">
        <v>185</v>
      </c>
      <c r="K400" s="38" t="s">
        <v>185</v>
      </c>
      <c r="L400" s="38" t="s">
        <v>185</v>
      </c>
      <c r="M400" s="38">
        <v>6</v>
      </c>
      <c r="N400" s="89">
        <v>9</v>
      </c>
      <c r="O400" s="421"/>
      <c r="P400" s="558" t="str">
        <f>IF(Contents!$B$2=2,"Yes","Да")</f>
        <v>Да</v>
      </c>
      <c r="Q400" s="164"/>
      <c r="R400" s="39"/>
      <c r="S400" s="39"/>
      <c r="T400" s="39"/>
      <c r="U400" s="39"/>
      <c r="W400" s="933">
        <v>1</v>
      </c>
    </row>
    <row r="401" spans="2:25" ht="22.5" customHeight="1">
      <c r="B401" s="93" t="str">
        <f>IF(Contents!$B$2=2,"Female","Женщины")</f>
        <v>Женщины</v>
      </c>
      <c r="C401" s="412" t="s">
        <v>0</v>
      </c>
      <c r="D401" s="38" t="s">
        <v>185</v>
      </c>
      <c r="E401" s="38" t="s">
        <v>185</v>
      </c>
      <c r="F401" s="38" t="s">
        <v>185</v>
      </c>
      <c r="G401" s="38" t="s">
        <v>185</v>
      </c>
      <c r="H401" s="38" t="s">
        <v>185</v>
      </c>
      <c r="I401" s="38" t="s">
        <v>185</v>
      </c>
      <c r="J401" s="38" t="s">
        <v>185</v>
      </c>
      <c r="K401" s="38" t="s">
        <v>185</v>
      </c>
      <c r="L401" s="38" t="s">
        <v>185</v>
      </c>
      <c r="M401" s="38">
        <v>2</v>
      </c>
      <c r="N401" s="89">
        <v>2</v>
      </c>
      <c r="O401" s="421"/>
      <c r="P401" s="558" t="str">
        <f>IF(Contents!$B$2=2,"Yes","Да")</f>
        <v>Да</v>
      </c>
      <c r="Q401" s="164"/>
      <c r="R401" s="39"/>
      <c r="S401" s="39"/>
      <c r="T401" s="39"/>
      <c r="U401" s="39"/>
      <c r="W401" s="933">
        <v>1</v>
      </c>
    </row>
    <row r="402" spans="2:25" ht="22.5" customHeight="1">
      <c r="B402" s="93"/>
      <c r="C402" s="412"/>
      <c r="D402" s="38"/>
      <c r="E402" s="38"/>
      <c r="F402" s="38"/>
      <c r="G402" s="38"/>
      <c r="H402" s="38"/>
      <c r="I402" s="38"/>
      <c r="J402" s="38"/>
      <c r="K402" s="38"/>
      <c r="L402" s="38"/>
      <c r="M402" s="38"/>
      <c r="N402" s="38"/>
      <c r="O402" s="421"/>
      <c r="P402" s="558"/>
      <c r="Q402" s="421"/>
      <c r="R402" s="39"/>
      <c r="S402" s="39"/>
      <c r="T402" s="39"/>
      <c r="U402" s="39"/>
    </row>
    <row r="403" spans="2:25" ht="22.5" customHeight="1">
      <c r="B403" s="25" t="str">
        <f>IF(Contents!$B$2=2,"Notes:","Примечания: ")</f>
        <v xml:space="preserve">Примечания: </v>
      </c>
      <c r="C403" s="412"/>
      <c r="D403" s="38"/>
      <c r="E403" s="38"/>
      <c r="F403" s="38"/>
      <c r="G403" s="38"/>
      <c r="H403" s="38"/>
      <c r="I403" s="38"/>
      <c r="J403" s="38"/>
      <c r="K403" s="38"/>
      <c r="L403" s="38"/>
      <c r="M403" s="38"/>
      <c r="N403" s="38"/>
      <c r="O403" s="38"/>
      <c r="P403" s="558"/>
      <c r="Q403" s="38"/>
      <c r="R403" s="39"/>
      <c r="S403" s="39"/>
      <c r="T403" s="39"/>
      <c r="U403" s="39"/>
    </row>
    <row r="404" spans="2:25">
      <c r="B404" s="26" t="str">
        <f>IF(Contents!$B$2=2,C405, B405)</f>
        <v>В рамках Корпоративной системы оценки технических компетенций и в рамках программы «Шаги к раскрытию талантов»</v>
      </c>
      <c r="C404" s="53"/>
      <c r="D404" s="91"/>
      <c r="E404" s="91"/>
      <c r="F404" s="91"/>
      <c r="G404" s="38"/>
      <c r="H404" s="39"/>
      <c r="I404" s="589"/>
      <c r="J404" s="558"/>
      <c r="K404" s="589"/>
      <c r="L404" s="595"/>
      <c r="M404" s="595"/>
      <c r="N404" s="595"/>
      <c r="O404" s="22"/>
      <c r="P404" s="14"/>
      <c r="Q404" s="22"/>
      <c r="R404" s="14"/>
      <c r="S404" s="14"/>
      <c r="T404" s="14"/>
      <c r="U404" s="14"/>
      <c r="V404" s="14"/>
      <c r="W404" s="939"/>
      <c r="X404" s="14"/>
      <c r="Y404" s="14"/>
    </row>
    <row r="405" spans="2:25">
      <c r="B405" s="115" t="s">
        <v>193</v>
      </c>
      <c r="C405" s="115" t="s">
        <v>194</v>
      </c>
      <c r="D405" s="91"/>
      <c r="E405" s="91"/>
      <c r="F405" s="91"/>
      <c r="G405" s="38"/>
      <c r="H405" s="39"/>
      <c r="I405" s="589"/>
      <c r="J405" s="558"/>
      <c r="K405" s="589"/>
      <c r="L405" s="595"/>
      <c r="M405" s="595"/>
      <c r="N405" s="595"/>
      <c r="O405" s="22"/>
      <c r="P405" s="14"/>
      <c r="Q405" s="22"/>
      <c r="R405" s="14"/>
      <c r="S405" s="14"/>
      <c r="T405" s="14"/>
      <c r="U405" s="14"/>
      <c r="V405" s="14"/>
      <c r="W405" s="939"/>
      <c r="X405" s="14"/>
      <c r="Y405" s="14"/>
    </row>
    <row r="406" spans="2:25" ht="22.5" customHeight="1">
      <c r="B406" s="31"/>
      <c r="C406" s="31"/>
      <c r="D406" s="416"/>
      <c r="E406" s="416"/>
      <c r="F406" s="416"/>
      <c r="G406" s="416"/>
      <c r="H406" s="416"/>
      <c r="I406" s="417"/>
      <c r="J406" s="416"/>
      <c r="K406" s="416"/>
      <c r="L406" s="416"/>
      <c r="M406" s="416"/>
      <c r="N406" s="416"/>
      <c r="O406" s="32"/>
      <c r="P406" s="592"/>
      <c r="Q406" s="32"/>
      <c r="R406" s="592"/>
      <c r="S406" s="592"/>
      <c r="T406" s="592"/>
      <c r="U406" s="592"/>
      <c r="V406" s="592"/>
      <c r="W406" s="940"/>
      <c r="X406" s="592"/>
      <c r="Y406" s="592"/>
    </row>
    <row r="407" spans="2:25" ht="15" customHeight="1">
      <c r="B407" s="33"/>
    </row>
    <row r="408" spans="2:25" ht="24.95" customHeight="1">
      <c r="B408" s="141" t="str">
        <f>IF(Contents!$B$2=2,"For more information, see the Sustainable Development Reports for 2020-2025 (the Personnel chapter).","Для получения дополнительной информации см. Отчеты об устойчивом развитии за 2020-2025 гг. (глава «Персонал»).")</f>
        <v>Для получения дополнительной информации см. Отчеты об устойчивом развитии за 2020-2025 гг. (глава «Персонал»).</v>
      </c>
    </row>
    <row r="409" spans="2:25" ht="24.95" customHeight="1">
      <c r="B409" s="418" t="s">
        <v>140</v>
      </c>
      <c r="C409" s="419" t="s">
        <v>141</v>
      </c>
    </row>
    <row r="410" spans="2:25" ht="24.95" customHeight="1">
      <c r="B410" s="34"/>
    </row>
    <row r="411" spans="2:25" ht="24.95" customHeight="1">
      <c r="B411" s="34"/>
    </row>
    <row r="412" spans="2:25" ht="24.95" customHeight="1">
      <c r="B412" s="34"/>
    </row>
  </sheetData>
  <hyperlinks>
    <hyperlink ref="B3" location="Personnel!B8" display="Personnel!B8"/>
    <hyperlink ref="G4" location="Personnel!B315" display="Personnel!B315"/>
    <hyperlink ref="J3" location="Personnel!B347" display="Personnel!B347"/>
    <hyperlink ref="J4" location="Personnel!B382" display="Personnel!B382"/>
    <hyperlink ref="B408" r:id="rId1" display="https://www.novatek.ru/en/development/archive/"/>
    <hyperlink ref="B1" location="Contents!A1" display="← Back to Contents"/>
    <hyperlink ref="B4" location="Personnel!B111" display="Personnel!B111"/>
    <hyperlink ref="C3" location="Personnel!B188" display="Personnel!B188"/>
    <hyperlink ref="C4" location="Personnel!B197" display="Personnel!B197"/>
    <hyperlink ref="G3" location="Personnel!B233" display="Personnel!B23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S110"/>
  <sheetViews>
    <sheetView zoomScale="48" zoomScaleNormal="50" workbookViewId="0">
      <pane xSplit="1" ySplit="7" topLeftCell="B8" activePane="bottomRight" state="frozen"/>
      <selection pane="topRight" activeCell="B1" sqref="B1"/>
      <selection pane="bottomLeft" activeCell="A8" sqref="A8"/>
      <selection pane="bottomRight" activeCell="B18" sqref="B18"/>
    </sheetView>
  </sheetViews>
  <sheetFormatPr defaultColWidth="91" defaultRowHeight="18.75"/>
  <cols>
    <col min="1" max="1" width="17.85546875" style="43"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14.140625" style="253" customWidth="1"/>
    <col min="16" max="16" width="15.42578125" style="606" customWidth="1"/>
    <col min="17" max="17" width="17.85546875" style="253" customWidth="1"/>
    <col min="18" max="20" width="20.42578125" style="606" customWidth="1"/>
    <col min="21" max="21" width="20.42578125" style="607" customWidth="1"/>
    <col min="22" max="22" width="5.42578125" style="606" customWidth="1"/>
    <col min="23" max="23" width="15.42578125" style="606" customWidth="1"/>
    <col min="24" max="24" width="5.85546875" style="606" customWidth="1"/>
    <col min="25" max="25" width="5.42578125" style="606" customWidth="1"/>
    <col min="26" max="26" width="50.42578125" style="617" hidden="1" customWidth="1"/>
    <col min="27" max="27" width="7" style="606" hidden="1" customWidth="1"/>
    <col min="28" max="251" width="8.42578125" style="43" customWidth="1"/>
    <col min="252" max="252" width="13.42578125" style="43" customWidth="1"/>
    <col min="253" max="16384" width="91" style="43"/>
  </cols>
  <sheetData>
    <row r="1" spans="1:253" ht="80.099999999999994" customHeight="1">
      <c r="A1" s="14"/>
      <c r="B1" s="487" t="s">
        <v>168</v>
      </c>
      <c r="C1" s="15"/>
      <c r="D1" s="16"/>
      <c r="E1" s="16"/>
      <c r="F1" s="16"/>
      <c r="G1" s="149"/>
      <c r="H1" s="16"/>
      <c r="I1" s="150"/>
      <c r="J1" s="16"/>
      <c r="K1" s="16"/>
      <c r="L1" s="16"/>
      <c r="M1" s="16"/>
      <c r="N1" s="16"/>
      <c r="O1" s="16"/>
      <c r="P1" s="589"/>
      <c r="Q1" s="16"/>
      <c r="R1" s="589"/>
      <c r="S1" s="589"/>
      <c r="T1" s="589"/>
      <c r="U1" s="589"/>
      <c r="V1" s="589"/>
      <c r="W1" s="589"/>
      <c r="X1" s="589"/>
      <c r="Y1" s="589"/>
      <c r="Z1" s="588"/>
      <c r="AA1" s="589"/>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row>
    <row r="2" spans="1:253">
      <c r="B2" s="18" t="str">
        <f>IF(Contents!$B$2=2,"CONTENTS","СОДЕРЖАНИЕ")</f>
        <v>СОДЕРЖАНИЕ</v>
      </c>
      <c r="C2" s="18"/>
      <c r="D2" s="18"/>
      <c r="E2" s="18"/>
      <c r="F2" s="18"/>
      <c r="G2" s="18"/>
      <c r="H2" s="18"/>
      <c r="I2" s="18"/>
      <c r="J2" s="18"/>
      <c r="K2" s="18"/>
      <c r="L2" s="18"/>
      <c r="M2" s="18"/>
      <c r="N2" s="18"/>
      <c r="O2" s="422"/>
      <c r="P2" s="633"/>
      <c r="Q2" s="510"/>
      <c r="R2" s="633"/>
      <c r="S2" s="633"/>
      <c r="T2" s="633"/>
      <c r="U2" s="633"/>
      <c r="V2" s="633"/>
      <c r="W2" s="633"/>
      <c r="X2" s="633"/>
      <c r="Y2" s="633"/>
      <c r="Z2" s="639"/>
    </row>
    <row r="3" spans="1:253">
      <c r="B3" s="568" t="str">
        <f>IF(Contents!$B$2=2,"Occupational health and safety (OHS)","Охрана труда и промышленная безопасность (ОТиПБ)")</f>
        <v>Охрана труда и промышленная безопасность (ОТиПБ)</v>
      </c>
      <c r="C3" s="509"/>
      <c r="D3" s="509"/>
      <c r="E3" s="509"/>
      <c r="F3" s="509"/>
      <c r="G3" s="441"/>
      <c r="H3" s="441"/>
      <c r="I3" s="441"/>
      <c r="J3" s="441"/>
      <c r="K3" s="441"/>
      <c r="L3" s="441"/>
      <c r="M3" s="441"/>
      <c r="N3" s="441"/>
      <c r="O3" s="510"/>
      <c r="P3" s="634"/>
      <c r="Q3" s="510"/>
      <c r="R3" s="634"/>
      <c r="S3" s="634"/>
      <c r="T3" s="634"/>
      <c r="U3" s="634"/>
      <c r="V3" s="634"/>
      <c r="W3" s="634"/>
      <c r="X3" s="634"/>
      <c r="Y3" s="634"/>
      <c r="Z3" s="640"/>
    </row>
    <row r="4" spans="1:253">
      <c r="B4" s="492"/>
      <c r="C4" s="509"/>
      <c r="D4" s="509"/>
      <c r="E4" s="509"/>
      <c r="F4" s="509"/>
      <c r="G4" s="441"/>
      <c r="H4" s="441"/>
      <c r="I4" s="441"/>
      <c r="J4" s="441"/>
      <c r="K4" s="441"/>
      <c r="L4" s="441"/>
      <c r="M4" s="441"/>
      <c r="N4" s="441"/>
      <c r="O4" s="510"/>
      <c r="P4" s="634"/>
      <c r="Q4" s="510"/>
      <c r="R4" s="634"/>
      <c r="S4" s="634"/>
      <c r="T4" s="634"/>
      <c r="U4" s="634"/>
      <c r="V4" s="634"/>
      <c r="W4" s="634"/>
      <c r="X4" s="634"/>
      <c r="Y4" s="634"/>
      <c r="Z4" s="640"/>
    </row>
    <row r="5" spans="1:253">
      <c r="B5" s="490"/>
      <c r="C5" s="491"/>
      <c r="D5" s="491"/>
      <c r="E5" s="491"/>
      <c r="F5" s="491"/>
      <c r="G5" s="423"/>
      <c r="H5" s="423"/>
      <c r="I5" s="423"/>
      <c r="J5" s="423"/>
      <c r="K5" s="423"/>
      <c r="L5" s="423"/>
      <c r="M5" s="423"/>
      <c r="N5" s="423"/>
      <c r="O5" s="423"/>
      <c r="P5" s="635"/>
      <c r="Q5" s="931"/>
      <c r="R5" s="635"/>
      <c r="S5" s="635"/>
      <c r="T5" s="635"/>
      <c r="U5" s="635"/>
      <c r="V5" s="635"/>
      <c r="W5" s="635"/>
      <c r="X5" s="635"/>
      <c r="Y5" s="635"/>
      <c r="Z5" s="641"/>
    </row>
    <row r="6" spans="1:253" ht="30">
      <c r="A6" s="14"/>
      <c r="B6" s="424" t="str">
        <f>IF(Contents!$B$2=2,"Occupational health and safety (OHS)","Охрана труда и промышленная безопасность (ОТиПБ)")</f>
        <v>Охрана труда и промышленная безопасность (ОТиПБ)</v>
      </c>
      <c r="C6" s="424"/>
      <c r="D6" s="425"/>
      <c r="E6" s="426"/>
      <c r="F6" s="427"/>
      <c r="G6" s="428"/>
      <c r="H6" s="428"/>
      <c r="I6" s="428"/>
      <c r="J6" s="429"/>
      <c r="K6" s="430"/>
      <c r="L6" s="430"/>
      <c r="M6" s="430"/>
      <c r="N6" s="430"/>
      <c r="O6" s="423"/>
      <c r="P6" s="636"/>
      <c r="Q6" s="932"/>
      <c r="R6" s="676"/>
      <c r="S6" s="676"/>
      <c r="T6" s="676"/>
      <c r="U6" s="676"/>
      <c r="V6" s="589"/>
      <c r="W6" s="636"/>
      <c r="X6" s="589"/>
      <c r="Y6" s="589"/>
      <c r="Z6" s="636"/>
      <c r="AA6" s="589"/>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row>
    <row r="7" spans="1:253" ht="54.95" customHeight="1">
      <c r="A7" s="14"/>
      <c r="B7" s="18"/>
      <c r="C7" s="431"/>
      <c r="D7" s="270">
        <v>2015</v>
      </c>
      <c r="E7" s="270">
        <v>2016</v>
      </c>
      <c r="F7" s="270">
        <v>2017</v>
      </c>
      <c r="G7" s="271">
        <v>2018</v>
      </c>
      <c r="H7" s="271">
        <v>2019</v>
      </c>
      <c r="I7" s="271">
        <v>2020</v>
      </c>
      <c r="J7" s="270">
        <v>2021</v>
      </c>
      <c r="K7" s="270">
        <v>2022</v>
      </c>
      <c r="L7" s="270">
        <v>2023</v>
      </c>
      <c r="M7" s="270">
        <v>2024</v>
      </c>
      <c r="N7" s="270">
        <v>2025</v>
      </c>
      <c r="O7" s="423"/>
      <c r="P7" s="586" t="str">
        <f>IF(Contents!$B$2=2,"Subject to external assurance in 2025","Внешний аудит в 2025 г.")</f>
        <v>Внешний аудит в 2025 г.</v>
      </c>
      <c r="Q7" s="930"/>
      <c r="R7" s="602" t="str">
        <f>IF(Contents!$B$2=2,"GRI Disclosure, including GRI 11: Oil and Gas Sector","Индексы Стандартов GRI, в т.ч. GRI 11: Oil and Gas Sector")</f>
        <v>Индексы Стандартов GRI, в т.ч. GRI 11: Oil and Gas Sector</v>
      </c>
      <c r="S7" s="602" t="str">
        <f>IF(Contents!$B$2=2,"Standards' Code SASB Oil &amp; Gas – Exploration &amp; Production 2023","Индексы Стандартов SASB Oil &amp; Gas – Exploration &amp; Production 2023")</f>
        <v>Индексы Стандартов SASB Oil &amp; Gas – Exploration &amp; Production 2023</v>
      </c>
      <c r="T7" s="602" t="str">
        <f>IF(Contents!$B$2=2,"Standards' indices IPIECA 2020","Индексы Стандартов IPIECA 2020")</f>
        <v>Индексы Стандартов IPIECA 2020</v>
      </c>
      <c r="U7" s="602" t="str">
        <f>IF(Contents!$B$2=2,"Indices of the Public Business Capital Standard","Индексы Стандарта общественного капитала бизнеса")</f>
        <v>Индексы Стандарта общественного капитала бизнеса</v>
      </c>
      <c r="V7" s="504"/>
      <c r="W7" s="586" t="str">
        <f>IF(Contents!$B$2=2,"Report scope","Границы отчетности")</f>
        <v>Границы отчетности</v>
      </c>
      <c r="X7" s="504"/>
      <c r="Y7" s="504"/>
      <c r="Z7" s="586" t="str">
        <f>IF(Contents!$B$2=2,"Data source","Источник данных")</f>
        <v>Источник данных</v>
      </c>
      <c r="AA7" s="50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row>
    <row r="8" spans="1:253" ht="20.100000000000001" customHeight="1">
      <c r="B8" s="18" t="str">
        <f>IF(Contents!$B$2=2,"Occuptaional health and safety (OHS)","Охрана труда и промышленная безопасность (ОТиПБ)")</f>
        <v>Охрана труда и промышленная безопасность (ОТиПБ)</v>
      </c>
      <c r="C8" s="18"/>
      <c r="D8" s="18"/>
      <c r="E8" s="18"/>
      <c r="F8" s="18"/>
      <c r="G8" s="18"/>
      <c r="H8" s="18"/>
      <c r="I8" s="18"/>
      <c r="J8" s="18"/>
      <c r="K8" s="18"/>
      <c r="L8" s="18"/>
      <c r="M8" s="18"/>
      <c r="N8" s="18"/>
      <c r="O8" s="423"/>
      <c r="Q8" s="932"/>
    </row>
    <row r="9" spans="1:253">
      <c r="B9" s="75" t="str">
        <f>IF(Contents!$B$2=2,"Work-related injury rates at the NOVATEK Group","Коэффициенты производственного травматизма по Группе")</f>
        <v>Коэффициенты производственного травматизма по Группе</v>
      </c>
      <c r="C9" s="432"/>
      <c r="D9" s="433"/>
      <c r="E9" s="433"/>
      <c r="F9" s="433"/>
      <c r="G9" s="433"/>
      <c r="H9" s="433"/>
      <c r="I9" s="433"/>
      <c r="J9" s="433"/>
      <c r="K9" s="433"/>
      <c r="L9" s="433"/>
      <c r="M9" s="433"/>
      <c r="N9" s="433"/>
      <c r="O9" s="423"/>
      <c r="P9" s="56"/>
      <c r="Q9" s="56"/>
      <c r="R9" s="56"/>
      <c r="S9" s="56"/>
      <c r="T9" s="56"/>
      <c r="U9" s="60"/>
      <c r="V9" s="56"/>
      <c r="W9" s="56"/>
      <c r="X9" s="56"/>
      <c r="Z9" s="297"/>
    </row>
    <row r="10" spans="1:253">
      <c r="B10" s="23" t="str">
        <f>IF(Contents!$B$2=2,"per 1,000,000 hours worked","на 1 млн отработанных часов")</f>
        <v>на 1 млн отработанных часов</v>
      </c>
      <c r="C10" s="77"/>
      <c r="D10" s="513"/>
      <c r="E10" s="513"/>
      <c r="F10" s="513"/>
      <c r="G10" s="513"/>
      <c r="H10" s="513"/>
      <c r="I10" s="513"/>
      <c r="J10" s="513"/>
      <c r="K10" s="513"/>
      <c r="L10" s="513"/>
      <c r="M10" s="513"/>
      <c r="N10" s="513"/>
      <c r="O10" s="423"/>
      <c r="P10" s="56"/>
      <c r="Q10" s="932"/>
      <c r="R10" s="56"/>
      <c r="S10" s="56"/>
      <c r="T10" s="56"/>
      <c r="U10" s="60"/>
      <c r="V10" s="56"/>
      <c r="W10" s="56"/>
      <c r="X10" s="56"/>
      <c r="Z10" s="297"/>
    </row>
    <row r="11" spans="1:253" ht="25.5">
      <c r="B11" s="93" t="str">
        <f>IF(Contents!$B$2=2,"TRIR","TRIR")</f>
        <v>TRIR</v>
      </c>
      <c r="C11" s="434" t="str">
        <f>IF(Contents!$B$2=2,"rate","коэффициент")</f>
        <v>коэффициент</v>
      </c>
      <c r="D11" s="435" t="s">
        <v>185</v>
      </c>
      <c r="E11" s="435" t="s">
        <v>185</v>
      </c>
      <c r="F11" s="435" t="s">
        <v>185</v>
      </c>
      <c r="G11" s="435" t="s">
        <v>185</v>
      </c>
      <c r="H11" s="435" t="s">
        <v>185</v>
      </c>
      <c r="I11" s="435" t="s">
        <v>185</v>
      </c>
      <c r="J11" s="435" t="s">
        <v>185</v>
      </c>
      <c r="K11" s="435" t="s">
        <v>3</v>
      </c>
      <c r="L11" s="435">
        <v>0.8</v>
      </c>
      <c r="M11" s="435">
        <v>1.3</v>
      </c>
      <c r="N11" s="24">
        <v>0.95</v>
      </c>
      <c r="O11" s="436"/>
      <c r="P11" s="598" t="str">
        <f>IF(Contents!$B$2=2,"Yes","Да")</f>
        <v>Да</v>
      </c>
      <c r="Q11" s="436"/>
      <c r="R11" s="297" t="s">
        <v>143</v>
      </c>
      <c r="S11" s="56" t="s">
        <v>144</v>
      </c>
      <c r="T11" s="56" t="s">
        <v>145</v>
      </c>
      <c r="U11" s="60"/>
      <c r="V11" s="56"/>
      <c r="W11" s="598">
        <v>1</v>
      </c>
      <c r="X11" s="56"/>
      <c r="Z11" s="297" t="s">
        <v>174</v>
      </c>
    </row>
    <row r="12" spans="1:253" ht="25.5">
      <c r="B12" s="93" t="str">
        <f>IF(Contents!$B$2=2,"High-consequence work-related injuries rate","Коэффициент тяжелого травматизма")</f>
        <v>Коэффициент тяжелого травматизма</v>
      </c>
      <c r="C12" s="434" t="str">
        <f>IF(Contents!$B$2=2,"rate","коэффициент")</f>
        <v>коэффициент</v>
      </c>
      <c r="D12" s="435" t="s">
        <v>185</v>
      </c>
      <c r="E12" s="435" t="s">
        <v>185</v>
      </c>
      <c r="F12" s="435" t="s">
        <v>185</v>
      </c>
      <c r="G12" s="435" t="s">
        <v>185</v>
      </c>
      <c r="H12" s="435">
        <v>0.05</v>
      </c>
      <c r="I12" s="435">
        <v>0.08</v>
      </c>
      <c r="J12" s="435">
        <v>0.04</v>
      </c>
      <c r="K12" s="435">
        <v>0.03</v>
      </c>
      <c r="L12" s="435">
        <v>0.03</v>
      </c>
      <c r="M12" s="435">
        <v>0</v>
      </c>
      <c r="N12" s="24">
        <v>0.05</v>
      </c>
      <c r="O12" s="58"/>
      <c r="P12" s="598" t="str">
        <f>IF(Contents!$B$2=2,"Yes","Да")</f>
        <v>Да</v>
      </c>
      <c r="Q12" s="436"/>
      <c r="R12" s="297" t="s">
        <v>143</v>
      </c>
      <c r="S12" s="56"/>
      <c r="T12" s="56"/>
      <c r="U12" s="60"/>
      <c r="V12" s="56"/>
      <c r="W12" s="598">
        <v>1</v>
      </c>
      <c r="X12" s="56"/>
      <c r="Z12" s="297" t="s">
        <v>174</v>
      </c>
    </row>
    <row r="13" spans="1:253" ht="25.5">
      <c r="B13" s="93" t="str">
        <f>IF(Contents!$B$2=2,"FR","FR")</f>
        <v>FR</v>
      </c>
      <c r="C13" s="434" t="str">
        <f>IF(Contents!$B$2=2,"rate","коэффициент")</f>
        <v>коэффициент</v>
      </c>
      <c r="D13" s="435" t="s">
        <v>185</v>
      </c>
      <c r="E13" s="435" t="s">
        <v>185</v>
      </c>
      <c r="F13" s="435" t="s">
        <v>185</v>
      </c>
      <c r="G13" s="435" t="s">
        <v>185</v>
      </c>
      <c r="H13" s="435">
        <v>0</v>
      </c>
      <c r="I13" s="435">
        <v>0</v>
      </c>
      <c r="J13" s="435">
        <v>7.0000000000000007E-2</v>
      </c>
      <c r="K13" s="435">
        <v>0.03</v>
      </c>
      <c r="L13" s="435">
        <v>0.06</v>
      </c>
      <c r="M13" s="435">
        <v>0.05</v>
      </c>
      <c r="N13" s="24">
        <v>0</v>
      </c>
      <c r="O13" s="64"/>
      <c r="P13" s="598" t="str">
        <f>IF(Contents!$B$2=2,"Yes","Да")</f>
        <v>Да</v>
      </c>
      <c r="Q13" s="436"/>
      <c r="R13" s="297" t="s">
        <v>143</v>
      </c>
      <c r="S13" s="56" t="s">
        <v>144</v>
      </c>
      <c r="T13" s="56" t="s">
        <v>145</v>
      </c>
      <c r="U13" s="60"/>
      <c r="V13" s="56"/>
      <c r="W13" s="598">
        <v>1</v>
      </c>
      <c r="X13" s="56"/>
      <c r="Z13" s="297" t="s">
        <v>174</v>
      </c>
    </row>
    <row r="14" spans="1:253" ht="25.5">
      <c r="B14" s="93" t="str">
        <f>IF(Contents!$B$2=2,"LTIFR","LTIFR")</f>
        <v>LTIFR</v>
      </c>
      <c r="C14" s="434" t="str">
        <f>IF(Contents!$B$2=2,"rate","коэффициент")</f>
        <v>коэффициент</v>
      </c>
      <c r="D14" s="435" t="s">
        <v>185</v>
      </c>
      <c r="E14" s="435" t="s">
        <v>185</v>
      </c>
      <c r="F14" s="435" t="s">
        <v>185</v>
      </c>
      <c r="G14" s="435" t="s">
        <v>185</v>
      </c>
      <c r="H14" s="435">
        <v>0.05</v>
      </c>
      <c r="I14" s="435">
        <v>0.45</v>
      </c>
      <c r="J14" s="435">
        <v>0.64</v>
      </c>
      <c r="K14" s="435">
        <v>0.4</v>
      </c>
      <c r="L14" s="435">
        <v>0.28000000000000003</v>
      </c>
      <c r="M14" s="435">
        <v>0.26</v>
      </c>
      <c r="N14" s="24">
        <v>0.19</v>
      </c>
      <c r="O14" s="64"/>
      <c r="P14" s="598" t="str">
        <f>IF(Contents!$B$2=2,"Yes","Да")</f>
        <v>Да</v>
      </c>
      <c r="Q14" s="436"/>
      <c r="R14" s="56"/>
      <c r="S14" s="56"/>
      <c r="T14" s="56" t="s">
        <v>145</v>
      </c>
      <c r="U14" s="273" t="str">
        <f>IF(Contents!$B$2=2,"PBCS 29","СОКБ 29")</f>
        <v>СОКБ 29</v>
      </c>
      <c r="V14" s="56"/>
      <c r="W14" s="598">
        <v>1</v>
      </c>
      <c r="X14" s="56"/>
      <c r="Z14" s="297" t="s">
        <v>174</v>
      </c>
    </row>
    <row r="15" spans="1:253">
      <c r="B15" s="23" t="str">
        <f>IF(Contents!$B$2=2,"per 200,000 hours worked","на 200 тыс. отработанных часов")</f>
        <v>на 200 тыс. отработанных часов</v>
      </c>
      <c r="C15" s="77"/>
      <c r="D15" s="513"/>
      <c r="E15" s="513"/>
      <c r="F15" s="513"/>
      <c r="G15" s="513"/>
      <c r="H15" s="513"/>
      <c r="I15" s="513"/>
      <c r="J15" s="513"/>
      <c r="K15" s="513"/>
      <c r="L15" s="513"/>
      <c r="M15" s="513"/>
      <c r="N15" s="513"/>
      <c r="O15" s="58"/>
      <c r="P15" s="56"/>
      <c r="Q15" s="436"/>
      <c r="R15" s="56"/>
      <c r="S15" s="56"/>
      <c r="T15" s="56"/>
      <c r="U15" s="60"/>
      <c r="V15" s="56"/>
      <c r="W15" s="56"/>
      <c r="X15" s="56"/>
      <c r="Z15" s="297"/>
    </row>
    <row r="16" spans="1:253" ht="25.5">
      <c r="B16" s="93" t="str">
        <f>IF(Contents!$B$2=2,"TRIR","TRIR")</f>
        <v>TRIR</v>
      </c>
      <c r="C16" s="434" t="str">
        <f>IF(Contents!$B$2=2,"rate","коэффициент")</f>
        <v>коэффициент</v>
      </c>
      <c r="D16" s="435" t="s">
        <v>185</v>
      </c>
      <c r="E16" s="435" t="s">
        <v>185</v>
      </c>
      <c r="F16" s="435" t="s">
        <v>185</v>
      </c>
      <c r="G16" s="435" t="s">
        <v>185</v>
      </c>
      <c r="H16" s="435" t="s">
        <v>185</v>
      </c>
      <c r="I16" s="435" t="s">
        <v>185</v>
      </c>
      <c r="J16" s="435" t="s">
        <v>185</v>
      </c>
      <c r="K16" s="435" t="s">
        <v>185</v>
      </c>
      <c r="L16" s="437">
        <v>0.159</v>
      </c>
      <c r="M16" s="437">
        <v>0.25900000000000001</v>
      </c>
      <c r="N16" s="438">
        <v>0.191</v>
      </c>
      <c r="O16" s="436"/>
      <c r="P16" s="598" t="str">
        <f>IF(Contents!$B$2=2,"Yes","Да")</f>
        <v>Да</v>
      </c>
      <c r="Q16" s="436"/>
      <c r="R16" s="297" t="s">
        <v>143</v>
      </c>
      <c r="S16" s="56" t="s">
        <v>144</v>
      </c>
      <c r="T16" s="56" t="s">
        <v>145</v>
      </c>
      <c r="U16" s="60"/>
      <c r="V16" s="56"/>
      <c r="W16" s="598">
        <v>1</v>
      </c>
      <c r="X16" s="56"/>
      <c r="Z16" s="297" t="s">
        <v>174</v>
      </c>
    </row>
    <row r="17" spans="2:26" ht="24" customHeight="1">
      <c r="B17" s="93" t="str">
        <f>IF(Contents!$B$2=2,"High-consequence work-related injuries rate","Коэффициент тяжелого травматизма")</f>
        <v>Коэффициент тяжелого травматизма</v>
      </c>
      <c r="C17" s="434" t="str">
        <f>IF(Contents!$B$2=2,"rate","коэффициент")</f>
        <v>коэффициент</v>
      </c>
      <c r="D17" s="435" t="s">
        <v>185</v>
      </c>
      <c r="E17" s="435" t="s">
        <v>185</v>
      </c>
      <c r="F17" s="435" t="s">
        <v>185</v>
      </c>
      <c r="G17" s="435" t="s">
        <v>185</v>
      </c>
      <c r="H17" s="437">
        <v>8.9999999999999993E-3</v>
      </c>
      <c r="I17" s="437">
        <v>1.4999999999999999E-2</v>
      </c>
      <c r="J17" s="437">
        <v>7.0000000000000001E-3</v>
      </c>
      <c r="K17" s="437">
        <v>7.0000000000000001E-3</v>
      </c>
      <c r="L17" s="437">
        <v>6.0000000000000001E-3</v>
      </c>
      <c r="M17" s="437">
        <v>0</v>
      </c>
      <c r="N17" s="438">
        <v>1.0999999999999999E-2</v>
      </c>
      <c r="O17" s="58"/>
      <c r="P17" s="598" t="str">
        <f>IF(Contents!$B$2=2,"Yes","Да")</f>
        <v>Да</v>
      </c>
      <c r="Q17" s="436"/>
      <c r="R17" s="297" t="s">
        <v>143</v>
      </c>
      <c r="S17" s="56"/>
      <c r="T17" s="56"/>
      <c r="U17" s="60"/>
      <c r="V17" s="56"/>
      <c r="W17" s="598">
        <v>1</v>
      </c>
      <c r="X17" s="56"/>
      <c r="Z17" s="297" t="s">
        <v>174</v>
      </c>
    </row>
    <row r="18" spans="2:26" ht="25.5">
      <c r="B18" s="93" t="str">
        <f>IF(Contents!$B$2=2,"FR","FR")</f>
        <v>FR</v>
      </c>
      <c r="C18" s="434" t="str">
        <f>IF(Contents!$B$2=2,"rate","коэффициент")</f>
        <v>коэффициент</v>
      </c>
      <c r="D18" s="435" t="s">
        <v>185</v>
      </c>
      <c r="E18" s="435" t="s">
        <v>185</v>
      </c>
      <c r="F18" s="435" t="s">
        <v>185</v>
      </c>
      <c r="G18" s="435" t="s">
        <v>185</v>
      </c>
      <c r="H18" s="437">
        <v>0</v>
      </c>
      <c r="I18" s="437">
        <v>0</v>
      </c>
      <c r="J18" s="437">
        <v>1.4E-2</v>
      </c>
      <c r="K18" s="437">
        <v>7.0000000000000001E-3</v>
      </c>
      <c r="L18" s="437">
        <v>1.2E-2</v>
      </c>
      <c r="M18" s="437">
        <v>1.0999999999999999E-2</v>
      </c>
      <c r="N18" s="438">
        <v>0</v>
      </c>
      <c r="O18" s="64"/>
      <c r="P18" s="598" t="str">
        <f>IF(Contents!$B$2=2,"Yes","Да")</f>
        <v>Да</v>
      </c>
      <c r="Q18" s="436"/>
      <c r="R18" s="297" t="s">
        <v>143</v>
      </c>
      <c r="S18" s="56" t="s">
        <v>144</v>
      </c>
      <c r="T18" s="56" t="s">
        <v>145</v>
      </c>
      <c r="U18" s="60"/>
      <c r="V18" s="56"/>
      <c r="W18" s="598">
        <v>1</v>
      </c>
      <c r="X18" s="56"/>
      <c r="Z18" s="297" t="s">
        <v>180</v>
      </c>
    </row>
    <row r="19" spans="2:26" ht="25.5">
      <c r="B19" s="93" t="str">
        <f>IF(Contents!$B$2=2,"LTIFR","LTIFR")</f>
        <v>LTIFR</v>
      </c>
      <c r="C19" s="434" t="str">
        <f>IF(Contents!$B$2=2,"rate","коэффициент")</f>
        <v>коэффициент</v>
      </c>
      <c r="D19" s="435" t="s">
        <v>185</v>
      </c>
      <c r="E19" s="435" t="s">
        <v>185</v>
      </c>
      <c r="F19" s="435" t="s">
        <v>185</v>
      </c>
      <c r="G19" s="435" t="s">
        <v>185</v>
      </c>
      <c r="H19" s="437">
        <v>8.9999999999999993E-3</v>
      </c>
      <c r="I19" s="437">
        <v>0.09</v>
      </c>
      <c r="J19" s="437">
        <v>0.128</v>
      </c>
      <c r="K19" s="437">
        <v>0.08</v>
      </c>
      <c r="L19" s="437">
        <v>5.5E-2</v>
      </c>
      <c r="M19" s="437">
        <v>5.2999999999999999E-2</v>
      </c>
      <c r="N19" s="438">
        <v>3.6999999999999998E-2</v>
      </c>
      <c r="O19" s="886"/>
      <c r="P19" s="598" t="str">
        <f>IF(Contents!$B$2=2,"Yes","Да")</f>
        <v>Да</v>
      </c>
      <c r="Q19" s="436"/>
      <c r="R19" s="56"/>
      <c r="S19" s="56"/>
      <c r="T19" s="56" t="s">
        <v>145</v>
      </c>
      <c r="U19" s="60"/>
      <c r="V19" s="56"/>
      <c r="W19" s="598">
        <v>1</v>
      </c>
      <c r="X19" s="56"/>
      <c r="Z19" s="297" t="s">
        <v>174</v>
      </c>
    </row>
    <row r="20" spans="2:26" ht="25.5">
      <c r="B20" s="93" t="str">
        <f>IF(Contents!$B$2=2,"NMFR","NMFR")</f>
        <v>NMFR</v>
      </c>
      <c r="C20" s="434" t="str">
        <f>IF(Contents!$B$2=2,"rate","коэффициент")</f>
        <v>коэффициент</v>
      </c>
      <c r="D20" s="435" t="s">
        <v>185</v>
      </c>
      <c r="E20" s="435" t="s">
        <v>185</v>
      </c>
      <c r="F20" s="435" t="s">
        <v>185</v>
      </c>
      <c r="G20" s="435" t="s">
        <v>185</v>
      </c>
      <c r="H20" s="435" t="s">
        <v>185</v>
      </c>
      <c r="I20" s="435" t="s">
        <v>185</v>
      </c>
      <c r="J20" s="435" t="s">
        <v>185</v>
      </c>
      <c r="K20" s="435" t="s">
        <v>185</v>
      </c>
      <c r="L20" s="439">
        <v>0.251</v>
      </c>
      <c r="M20" s="439">
        <v>2.5999999999999999E-2</v>
      </c>
      <c r="N20" s="199" t="s">
        <v>136</v>
      </c>
      <c r="P20" s="598" t="str">
        <f>IF(Contents!$B$2=2,"Yes","Да")</f>
        <v>Да</v>
      </c>
      <c r="Q20" s="436"/>
      <c r="S20" s="56" t="s">
        <v>144</v>
      </c>
      <c r="V20" s="56"/>
      <c r="W20" s="598">
        <v>1</v>
      </c>
      <c r="X20" s="56"/>
      <c r="Z20" s="297" t="s">
        <v>174</v>
      </c>
    </row>
    <row r="21" spans="2:26">
      <c r="B21" s="440"/>
      <c r="C21" s="434"/>
      <c r="D21" s="511"/>
      <c r="E21" s="511"/>
      <c r="F21" s="511"/>
      <c r="G21" s="511"/>
      <c r="H21" s="511"/>
      <c r="I21" s="512"/>
      <c r="J21" s="511"/>
      <c r="K21" s="511"/>
      <c r="L21" s="511"/>
      <c r="M21" s="511"/>
      <c r="N21" s="511"/>
      <c r="S21" s="56"/>
      <c r="V21" s="56"/>
      <c r="W21" s="56"/>
      <c r="X21" s="56"/>
    </row>
    <row r="22" spans="2:26" ht="17.25" customHeight="1">
      <c r="B22" s="25" t="str">
        <f>IF(Contents!$B$2=2,"Notes:","Примечания:")</f>
        <v>Примечания:</v>
      </c>
      <c r="C22" s="61"/>
      <c r="D22" s="62"/>
      <c r="E22" s="62"/>
      <c r="F22" s="62"/>
      <c r="G22" s="62"/>
      <c r="H22" s="62"/>
      <c r="I22" s="62"/>
      <c r="J22" s="62"/>
      <c r="K22" s="62"/>
      <c r="L22" s="62"/>
      <c r="M22" s="62"/>
      <c r="N22" s="63"/>
      <c r="O22" s="59"/>
      <c r="P22" s="56"/>
      <c r="Q22" s="59"/>
      <c r="R22" s="56"/>
      <c r="S22" s="56"/>
      <c r="T22" s="56"/>
      <c r="U22" s="60"/>
      <c r="V22" s="56"/>
      <c r="W22" s="56"/>
      <c r="X22" s="56"/>
      <c r="Z22" s="297"/>
    </row>
    <row r="23" spans="2:26" ht="4.5" hidden="1" customHeight="1">
      <c r="B23" s="26">
        <f>IF(Contents!$B$2=2, C28, B28)</f>
        <v>0</v>
      </c>
      <c r="C23" s="61"/>
      <c r="D23" s="66"/>
      <c r="E23" s="66"/>
      <c r="F23" s="66"/>
      <c r="G23" s="66"/>
      <c r="H23" s="66"/>
      <c r="I23" s="66"/>
      <c r="J23" s="66"/>
      <c r="K23" s="66"/>
      <c r="L23" s="66"/>
      <c r="M23" s="66"/>
      <c r="N23" s="66"/>
      <c r="O23" s="59"/>
      <c r="P23" s="56"/>
      <c r="Q23" s="59"/>
      <c r="R23" s="56"/>
      <c r="S23" s="56"/>
      <c r="T23" s="56"/>
      <c r="U23" s="60"/>
      <c r="V23" s="56"/>
      <c r="W23" s="56"/>
      <c r="X23" s="56"/>
      <c r="Z23" s="297"/>
    </row>
    <row r="24" spans="2:26">
      <c r="B24" s="26" t="str">
        <f>IF(Contents!$B$2=2, E28, D28)</f>
        <v>Коэффициент тяжелого травматизма = Количество пострадавших с тяжелыми травмами (без учета смертельных случаев) х 1 млн или 200 тыс. человеко-часов / Количество человеко-часов, отработанных всеми работниками.</v>
      </c>
      <c r="C24" s="26"/>
      <c r="D24" s="66"/>
      <c r="E24" s="66"/>
      <c r="F24" s="66"/>
      <c r="G24" s="66"/>
      <c r="H24" s="66"/>
      <c r="I24" s="66"/>
      <c r="J24" s="66"/>
      <c r="K24" s="66"/>
      <c r="L24" s="66"/>
      <c r="M24" s="66"/>
      <c r="N24" s="66"/>
      <c r="O24" s="59"/>
      <c r="P24" s="56"/>
      <c r="Q24" s="59"/>
      <c r="R24" s="56"/>
      <c r="S24" s="56"/>
      <c r="T24" s="56"/>
      <c r="U24" s="60"/>
      <c r="V24" s="56"/>
      <c r="W24" s="56"/>
      <c r="X24" s="56"/>
      <c r="Z24" s="297"/>
    </row>
    <row r="25" spans="2:26">
      <c r="B25" s="26" t="str">
        <f>IF(Contents!$B$2=2, G28, F28)</f>
        <v>Коэффициент частоты травм со смертельным исходом (FR) = Количество пострадавших со смертельным исходом х 1 млн или 200 тыс. человеко-часов / Количество человеко-часов, отработанных всеми работниками.</v>
      </c>
      <c r="C25" s="26"/>
      <c r="D25" s="66"/>
      <c r="E25" s="66"/>
      <c r="F25" s="66"/>
      <c r="G25" s="66"/>
      <c r="H25" s="66"/>
      <c r="I25" s="66"/>
      <c r="J25" s="66"/>
      <c r="K25" s="66"/>
      <c r="L25" s="66"/>
      <c r="M25" s="66"/>
      <c r="N25" s="66"/>
      <c r="O25" s="59"/>
      <c r="P25" s="56"/>
      <c r="Q25" s="59"/>
      <c r="R25" s="56"/>
      <c r="S25" s="56"/>
      <c r="T25" s="56"/>
      <c r="U25" s="60"/>
      <c r="V25" s="56"/>
      <c r="W25" s="56"/>
      <c r="X25" s="56"/>
      <c r="Z25" s="297"/>
    </row>
    <row r="26" spans="2:26">
      <c r="B26" s="26" t="str">
        <f>IF(Contents!$B$2=2, I28, H28)</f>
        <v>Коэффициент частоты производственных травм с потерей трудоспособности (LTIFR) = Количество пострадавших от несчастных случаев (с учетом смертельных случаев) х 1 млн или 200 тыс. человеко-часов / Количество человеко-часов, отработанных всеми работниками.</v>
      </c>
      <c r="C26" s="26"/>
      <c r="D26" s="66"/>
      <c r="E26" s="66"/>
      <c r="F26" s="66"/>
      <c r="G26" s="66"/>
      <c r="H26" s="66"/>
      <c r="I26" s="66"/>
      <c r="J26" s="66"/>
      <c r="K26" s="66"/>
      <c r="L26" s="66"/>
      <c r="M26" s="66"/>
      <c r="N26" s="66"/>
      <c r="O26" s="59"/>
      <c r="P26" s="56"/>
      <c r="Q26" s="59"/>
      <c r="R26" s="56"/>
      <c r="S26" s="56"/>
      <c r="T26" s="56"/>
      <c r="U26" s="60"/>
      <c r="V26" s="56"/>
      <c r="W26" s="56"/>
      <c r="X26" s="56"/>
      <c r="Z26" s="297"/>
    </row>
    <row r="27" spans="2:26">
      <c r="B27" s="26" t="str">
        <f>IF(Contents!$B$2=2, K28, J28)</f>
        <v xml:space="preserve">Частота происшествий без последствий (NMFR) = Количество происшествий без последствий х 200 тыс. человеко-часов / Количество человеко-часов, отработанных всеми работниками. В 2025 году данные не консолидировались на уровне Группы. </v>
      </c>
      <c r="C27" s="26"/>
      <c r="D27" s="66"/>
      <c r="E27" s="66"/>
      <c r="F27" s="66"/>
      <c r="G27" s="66"/>
      <c r="H27" s="66"/>
      <c r="I27" s="66"/>
      <c r="J27" s="66"/>
      <c r="K27" s="66"/>
      <c r="L27" s="66"/>
      <c r="M27" s="66"/>
      <c r="N27" s="66"/>
      <c r="O27" s="59"/>
      <c r="P27" s="56"/>
      <c r="Q27" s="59"/>
      <c r="R27" s="56"/>
      <c r="S27" s="56"/>
      <c r="T27" s="56"/>
      <c r="U27" s="60"/>
      <c r="V27" s="56"/>
      <c r="W27" s="56"/>
      <c r="X27" s="56"/>
      <c r="Z27" s="297"/>
    </row>
    <row r="28" spans="2:26">
      <c r="B28" s="441"/>
      <c r="C28" s="442" t="s">
        <v>146</v>
      </c>
      <c r="D28" s="59" t="s">
        <v>147</v>
      </c>
      <c r="E28" s="59" t="s">
        <v>148</v>
      </c>
      <c r="F28" s="59" t="s">
        <v>149</v>
      </c>
      <c r="G28" s="59" t="s">
        <v>150</v>
      </c>
      <c r="H28" s="59" t="s">
        <v>151</v>
      </c>
      <c r="I28" s="59" t="s">
        <v>152</v>
      </c>
      <c r="J28" s="59" t="s">
        <v>240</v>
      </c>
      <c r="K28" s="59" t="s">
        <v>234</v>
      </c>
      <c r="L28" s="59"/>
      <c r="M28" s="59"/>
      <c r="N28" s="59"/>
      <c r="O28" s="59"/>
      <c r="P28" s="56"/>
      <c r="Q28" s="59"/>
      <c r="R28" s="618"/>
      <c r="S28" s="618"/>
      <c r="T28" s="618"/>
      <c r="U28" s="618"/>
      <c r="V28" s="618"/>
      <c r="W28" s="618"/>
      <c r="X28" s="56"/>
      <c r="Z28" s="297"/>
    </row>
    <row r="29" spans="2:26">
      <c r="B29" s="443" t="str">
        <f>IF(Contents!$B$2=2,"Number of employee work-related injuries","Показатели производственного травматизма по Группе")</f>
        <v>Показатели производственного травматизма по Группе</v>
      </c>
      <c r="C29" s="444"/>
      <c r="D29" s="296"/>
      <c r="E29" s="296"/>
      <c r="F29" s="296"/>
      <c r="G29" s="296"/>
      <c r="H29" s="296"/>
      <c r="I29" s="296"/>
      <c r="J29" s="296"/>
      <c r="K29" s="296"/>
      <c r="L29" s="296"/>
      <c r="M29" s="296"/>
      <c r="N29" s="296"/>
      <c r="O29" s="59"/>
      <c r="P29" s="56"/>
      <c r="Q29" s="59"/>
      <c r="R29" s="618"/>
      <c r="S29" s="618"/>
      <c r="T29" s="618"/>
      <c r="U29" s="618"/>
      <c r="V29" s="618"/>
      <c r="W29" s="618"/>
      <c r="X29" s="56"/>
      <c r="Z29" s="297"/>
    </row>
    <row r="30" spans="2:26" ht="25.5">
      <c r="B30" s="445" t="str">
        <f>IF(Contents!$B$2=2,"Number of work-related accidents","Количество несчастных случаев на производстве")</f>
        <v>Количество несчастных случаев на производстве</v>
      </c>
      <c r="C30" s="518" t="str">
        <f>IF(Contents!$B$2=2,"unit"," единиц")</f>
        <v xml:space="preserve"> единиц</v>
      </c>
      <c r="D30" s="446">
        <v>5</v>
      </c>
      <c r="E30" s="446">
        <v>5</v>
      </c>
      <c r="F30" s="446">
        <v>13</v>
      </c>
      <c r="G30" s="446">
        <v>10</v>
      </c>
      <c r="H30" s="446">
        <v>8</v>
      </c>
      <c r="I30" s="446">
        <v>12</v>
      </c>
      <c r="J30" s="446">
        <v>15</v>
      </c>
      <c r="K30" s="446">
        <v>12</v>
      </c>
      <c r="L30" s="446">
        <v>7</v>
      </c>
      <c r="M30" s="446">
        <v>9</v>
      </c>
      <c r="N30" s="446">
        <v>7</v>
      </c>
      <c r="O30" s="58"/>
      <c r="P30" s="598"/>
      <c r="Q30" s="58"/>
      <c r="R30" s="56"/>
      <c r="S30" s="56"/>
      <c r="T30" s="56"/>
      <c r="U30" s="60"/>
      <c r="V30" s="56"/>
      <c r="W30" s="598">
        <v>1</v>
      </c>
      <c r="X30" s="56"/>
      <c r="Z30" s="297" t="s">
        <v>174</v>
      </c>
    </row>
    <row r="31" spans="2:26" ht="25.5">
      <c r="B31" s="93" t="str">
        <f>IF(Contents!$B$2=2,"Minor accidents","Легкие случаи")</f>
        <v>Легкие случаи</v>
      </c>
      <c r="C31" s="447" t="str">
        <f>IF(Contents!$B$2=2,"unit"," единиц")</f>
        <v xml:space="preserve"> единиц</v>
      </c>
      <c r="D31" s="58">
        <v>5</v>
      </c>
      <c r="E31" s="58">
        <v>5</v>
      </c>
      <c r="F31" s="58">
        <v>11</v>
      </c>
      <c r="G31" s="58">
        <v>10</v>
      </c>
      <c r="H31" s="58">
        <v>8</v>
      </c>
      <c r="I31" s="58">
        <v>10</v>
      </c>
      <c r="J31" s="58">
        <v>13</v>
      </c>
      <c r="K31" s="58">
        <v>10</v>
      </c>
      <c r="L31" s="58">
        <v>6</v>
      </c>
      <c r="M31" s="58">
        <v>8</v>
      </c>
      <c r="N31" s="98">
        <v>5</v>
      </c>
      <c r="O31" s="58"/>
      <c r="P31" s="598"/>
      <c r="Q31" s="58"/>
      <c r="R31" s="56"/>
      <c r="S31" s="56"/>
      <c r="T31" s="56"/>
      <c r="U31" s="60"/>
      <c r="V31" s="56"/>
      <c r="W31" s="598">
        <v>1</v>
      </c>
      <c r="X31" s="56"/>
      <c r="Z31" s="297" t="s">
        <v>174</v>
      </c>
    </row>
    <row r="32" spans="2:26" ht="25.5">
      <c r="B32" s="93" t="str">
        <f>IF(Contents!$B$2=2,"Severe accidents","Тяжелые случаи")</f>
        <v>Тяжелые случаи</v>
      </c>
      <c r="C32" s="447" t="str">
        <f>IF(Contents!$B$2=2,"unit"," единиц")</f>
        <v xml:space="preserve"> единиц</v>
      </c>
      <c r="D32" s="58">
        <v>0</v>
      </c>
      <c r="E32" s="58">
        <v>0</v>
      </c>
      <c r="F32" s="58">
        <v>1</v>
      </c>
      <c r="G32" s="58">
        <v>0</v>
      </c>
      <c r="H32" s="58">
        <v>1</v>
      </c>
      <c r="I32" s="58">
        <v>2</v>
      </c>
      <c r="J32" s="58">
        <v>0</v>
      </c>
      <c r="K32" s="58">
        <v>1</v>
      </c>
      <c r="L32" s="58">
        <v>0</v>
      </c>
      <c r="M32" s="58">
        <v>0</v>
      </c>
      <c r="N32" s="98">
        <v>2</v>
      </c>
      <c r="O32" s="58"/>
      <c r="P32" s="598"/>
      <c r="Q32" s="58"/>
      <c r="R32" s="56"/>
      <c r="S32" s="56"/>
      <c r="T32" s="56"/>
      <c r="U32" s="299"/>
      <c r="V32" s="56"/>
      <c r="W32" s="598">
        <v>1</v>
      </c>
      <c r="X32" s="56"/>
      <c r="Z32" s="297" t="s">
        <v>174</v>
      </c>
    </row>
    <row r="33" spans="2:26" ht="25.5">
      <c r="B33" s="93" t="str">
        <f>IF(Contents!$B$2=2,"Fatalities","Смертельные случаи")</f>
        <v>Смертельные случаи</v>
      </c>
      <c r="C33" s="447" t="str">
        <f>IF(Contents!$B$2=2,"unit"," единиц")</f>
        <v xml:space="preserve"> единиц</v>
      </c>
      <c r="D33" s="58">
        <v>0</v>
      </c>
      <c r="E33" s="58">
        <v>0</v>
      </c>
      <c r="F33" s="58">
        <v>1</v>
      </c>
      <c r="G33" s="58">
        <v>0</v>
      </c>
      <c r="H33" s="58">
        <v>0</v>
      </c>
      <c r="I33" s="58">
        <v>0</v>
      </c>
      <c r="J33" s="58">
        <v>2</v>
      </c>
      <c r="K33" s="58">
        <v>1</v>
      </c>
      <c r="L33" s="58">
        <v>1</v>
      </c>
      <c r="M33" s="58">
        <v>1</v>
      </c>
      <c r="N33" s="98">
        <v>0</v>
      </c>
      <c r="O33" s="58"/>
      <c r="P33" s="598"/>
      <c r="Q33" s="58"/>
      <c r="R33" s="56"/>
      <c r="S33" s="56"/>
      <c r="T33" s="56"/>
      <c r="U33" s="299"/>
      <c r="V33" s="56"/>
      <c r="W33" s="598">
        <v>1</v>
      </c>
      <c r="X33" s="56"/>
      <c r="Z33" s="297" t="s">
        <v>174</v>
      </c>
    </row>
    <row r="34" spans="2:26" ht="25.5">
      <c r="B34" s="445" t="str">
        <f>IF(Contents!$B$2=2,"Number of work-related injuries","Количество регистрируемых производственных травм")</f>
        <v>Количество регистрируемых производственных травм</v>
      </c>
      <c r="C34" s="77" t="str">
        <f>IF(Contents!$B$2=2,"people"," человек")</f>
        <v xml:space="preserve"> человек</v>
      </c>
      <c r="D34" s="446" t="s">
        <v>185</v>
      </c>
      <c r="E34" s="446" t="s">
        <v>185</v>
      </c>
      <c r="F34" s="446" t="s">
        <v>185</v>
      </c>
      <c r="G34" s="446" t="s">
        <v>185</v>
      </c>
      <c r="H34" s="446" t="s">
        <v>185</v>
      </c>
      <c r="I34" s="446" t="s">
        <v>185</v>
      </c>
      <c r="J34" s="446" t="s">
        <v>185</v>
      </c>
      <c r="K34" s="446" t="s">
        <v>185</v>
      </c>
      <c r="L34" s="446">
        <v>26</v>
      </c>
      <c r="M34" s="446">
        <v>49</v>
      </c>
      <c r="N34" s="446">
        <v>36</v>
      </c>
      <c r="O34" s="58"/>
      <c r="P34" s="598" t="str">
        <f>IF(Contents!$B$2=2,"Yes","Да")</f>
        <v>Да</v>
      </c>
      <c r="Q34" s="58"/>
      <c r="R34" s="297" t="s">
        <v>143</v>
      </c>
      <c r="S34" s="56"/>
      <c r="T34" s="56"/>
      <c r="U34" s="60"/>
      <c r="V34" s="56"/>
      <c r="W34" s="598">
        <v>1</v>
      </c>
      <c r="X34" s="56"/>
      <c r="Z34" s="297" t="s">
        <v>181</v>
      </c>
    </row>
    <row r="35" spans="2:26" ht="25.5">
      <c r="B35" s="93" t="str">
        <f>IF(Contents!$B$2=2,"Microtraumas requiring medical treatment","Микроповреждения, потребовавшие оказания медицинской помощи")</f>
        <v>Микроповреждения, потребовавшие оказания медицинской помощи</v>
      </c>
      <c r="C35" s="434" t="str">
        <f>IF(Contents!$B$2=2,"people"," человек")</f>
        <v xml:space="preserve"> человек</v>
      </c>
      <c r="D35" s="435" t="s">
        <v>185</v>
      </c>
      <c r="E35" s="435" t="s">
        <v>185</v>
      </c>
      <c r="F35" s="435" t="s">
        <v>185</v>
      </c>
      <c r="G35" s="435" t="s">
        <v>185</v>
      </c>
      <c r="H35" s="435" t="s">
        <v>185</v>
      </c>
      <c r="I35" s="435" t="s">
        <v>185</v>
      </c>
      <c r="J35" s="435" t="s">
        <v>185</v>
      </c>
      <c r="K35" s="435" t="s">
        <v>185</v>
      </c>
      <c r="L35" s="58">
        <v>17</v>
      </c>
      <c r="M35" s="58">
        <v>39</v>
      </c>
      <c r="N35" s="98">
        <v>29</v>
      </c>
      <c r="O35" s="58"/>
      <c r="P35" s="598" t="str">
        <f>IF(Contents!$B$2=2,"Yes","Да")</f>
        <v>Да</v>
      </c>
      <c r="Q35" s="58"/>
      <c r="R35" s="56"/>
      <c r="S35" s="56"/>
      <c r="T35" s="56"/>
      <c r="U35" s="60"/>
      <c r="V35" s="56"/>
      <c r="W35" s="598">
        <v>1</v>
      </c>
      <c r="X35" s="56"/>
      <c r="Z35" s="297" t="s">
        <v>174</v>
      </c>
    </row>
    <row r="36" spans="2:26" ht="38.25">
      <c r="B36" s="93" t="str">
        <f>IF(Contents!$B$2=2,"Minor injuries","Легкие травмы")</f>
        <v>Легкие травмы</v>
      </c>
      <c r="C36" s="434" t="str">
        <f>IF(Contents!$B$2=2,"people"," человек")</f>
        <v xml:space="preserve"> человек</v>
      </c>
      <c r="D36" s="435" t="s">
        <v>185</v>
      </c>
      <c r="E36" s="435" t="s">
        <v>185</v>
      </c>
      <c r="F36" s="435" t="s">
        <v>185</v>
      </c>
      <c r="G36" s="435" t="s">
        <v>185</v>
      </c>
      <c r="H36" s="435" t="s">
        <v>185</v>
      </c>
      <c r="I36" s="58">
        <v>10</v>
      </c>
      <c r="J36" s="58">
        <v>15</v>
      </c>
      <c r="K36" s="58">
        <v>10</v>
      </c>
      <c r="L36" s="58">
        <v>6</v>
      </c>
      <c r="M36" s="58">
        <v>8</v>
      </c>
      <c r="N36" s="98">
        <v>5</v>
      </c>
      <c r="O36" s="58"/>
      <c r="P36" s="598" t="str">
        <f>IF(Contents!$B$2=2,"Yes","Да")</f>
        <v>Да</v>
      </c>
      <c r="Q36" s="58"/>
      <c r="R36" s="56"/>
      <c r="S36" s="56"/>
      <c r="T36" s="56"/>
      <c r="U36" s="60"/>
      <c r="V36" s="56"/>
      <c r="W36" s="598">
        <v>1</v>
      </c>
      <c r="X36" s="56"/>
      <c r="Z36" s="297" t="s">
        <v>182</v>
      </c>
    </row>
    <row r="37" spans="2:26" ht="25.5">
      <c r="B37" s="93" t="str">
        <f>IF(Contents!$B$2=2,"Severe injuries","Тяжелые травмы")</f>
        <v>Тяжелые травмы</v>
      </c>
      <c r="C37" s="434" t="str">
        <f>IF(Contents!$B$2=2,"people"," человек")</f>
        <v xml:space="preserve"> человек</v>
      </c>
      <c r="D37" s="435" t="s">
        <v>185</v>
      </c>
      <c r="E37" s="435" t="s">
        <v>185</v>
      </c>
      <c r="F37" s="435" t="s">
        <v>185</v>
      </c>
      <c r="G37" s="435" t="s">
        <v>185</v>
      </c>
      <c r="H37" s="448">
        <v>1</v>
      </c>
      <c r="I37" s="448">
        <v>2</v>
      </c>
      <c r="J37" s="448">
        <v>1</v>
      </c>
      <c r="K37" s="448">
        <v>1</v>
      </c>
      <c r="L37" s="448">
        <v>1</v>
      </c>
      <c r="M37" s="448">
        <v>0</v>
      </c>
      <c r="N37" s="98">
        <v>2</v>
      </c>
      <c r="O37" s="58"/>
      <c r="P37" s="598" t="str">
        <f>IF(Contents!$B$2=2,"Yes","Да")</f>
        <v>Да</v>
      </c>
      <c r="Q37" s="58"/>
      <c r="R37" s="297" t="s">
        <v>143</v>
      </c>
      <c r="S37" s="56"/>
      <c r="T37" s="56"/>
      <c r="U37" s="60"/>
      <c r="V37" s="56"/>
      <c r="W37" s="598">
        <v>1</v>
      </c>
      <c r="X37" s="56"/>
      <c r="Z37" s="297" t="s">
        <v>174</v>
      </c>
    </row>
    <row r="38" spans="2:26" ht="25.5">
      <c r="B38" s="93" t="str">
        <f>IF(Contents!$B$2=2,"Fatalities","Травмы со смертельным исходом")</f>
        <v>Травмы со смертельным исходом</v>
      </c>
      <c r="C38" s="434" t="str">
        <f>IF(Contents!$B$2=2,"people"," человек")</f>
        <v xml:space="preserve"> человек</v>
      </c>
      <c r="D38" s="435" t="s">
        <v>185</v>
      </c>
      <c r="E38" s="435" t="s">
        <v>185</v>
      </c>
      <c r="F38" s="435" t="s">
        <v>185</v>
      </c>
      <c r="G38" s="435" t="s">
        <v>185</v>
      </c>
      <c r="H38" s="448">
        <v>0</v>
      </c>
      <c r="I38" s="448">
        <v>0</v>
      </c>
      <c r="J38" s="448">
        <v>2</v>
      </c>
      <c r="K38" s="448">
        <v>1</v>
      </c>
      <c r="L38" s="448">
        <v>2</v>
      </c>
      <c r="M38" s="448">
        <v>2</v>
      </c>
      <c r="N38" s="98">
        <v>0</v>
      </c>
      <c r="O38" s="59"/>
      <c r="P38" s="598" t="str">
        <f>IF(Contents!$B$2=2,"Yes","Да")</f>
        <v>Да</v>
      </c>
      <c r="Q38" s="58"/>
      <c r="R38" s="297" t="s">
        <v>143</v>
      </c>
      <c r="S38" s="56"/>
      <c r="T38" s="56"/>
      <c r="U38" s="273" t="str">
        <f>IF(Contents!$B$2=2,"PBCS 30","СОКБ 30")</f>
        <v>СОКБ 30</v>
      </c>
      <c r="V38" s="56"/>
      <c r="W38" s="598">
        <v>1</v>
      </c>
      <c r="X38" s="56"/>
      <c r="Z38" s="297" t="s">
        <v>174</v>
      </c>
    </row>
    <row r="39" spans="2:26">
      <c r="B39" s="449"/>
      <c r="C39" s="434"/>
      <c r="D39" s="448"/>
      <c r="E39" s="448"/>
      <c r="F39" s="448"/>
      <c r="G39" s="448"/>
      <c r="H39" s="448"/>
      <c r="I39" s="448"/>
      <c r="J39" s="448"/>
      <c r="K39" s="448"/>
      <c r="L39" s="448"/>
      <c r="M39" s="448"/>
      <c r="N39" s="448"/>
      <c r="O39" s="59"/>
      <c r="P39" s="56"/>
      <c r="Q39" s="59"/>
      <c r="R39" s="56"/>
      <c r="S39" s="56"/>
      <c r="T39" s="56"/>
      <c r="U39" s="60"/>
      <c r="V39" s="56"/>
      <c r="W39" s="56"/>
      <c r="X39" s="56"/>
      <c r="Z39" s="297"/>
    </row>
    <row r="40" spans="2:26">
      <c r="B40" s="25" t="str">
        <f>IF(Contents!$B$2=2,"Notes:","Примечания:")</f>
        <v>Примечания:</v>
      </c>
      <c r="C40" s="61"/>
      <c r="D40" s="62"/>
      <c r="E40" s="62"/>
      <c r="F40" s="62"/>
      <c r="G40" s="62"/>
      <c r="H40" s="62"/>
      <c r="I40" s="62"/>
      <c r="J40" s="62"/>
      <c r="K40" s="62"/>
      <c r="L40" s="62"/>
      <c r="M40" s="62"/>
      <c r="N40" s="63"/>
      <c r="O40" s="59"/>
      <c r="P40" s="56"/>
      <c r="Q40" s="59"/>
      <c r="R40" s="56"/>
      <c r="S40" s="56"/>
      <c r="T40" s="56"/>
      <c r="U40" s="60"/>
      <c r="V40" s="56"/>
      <c r="W40" s="56"/>
      <c r="X40" s="56"/>
      <c r="Z40" s="297"/>
    </row>
    <row r="41" spans="2:26">
      <c r="B41" s="26" t="str">
        <f>IF(Contents!$B$2=2,"Accidents are classified in accordance with Article 227 of the Labor Code of the Russian Federation.","Квалификация несчастных случаев осуществляется в соответствии с ст. 227 Трудового кодекса РФ.")</f>
        <v>Квалификация несчастных случаев осуществляется в соответствии с ст. 227 Трудового кодекса РФ.</v>
      </c>
      <c r="C41" s="294"/>
      <c r="D41" s="514"/>
      <c r="E41" s="514"/>
      <c r="F41" s="514"/>
      <c r="G41" s="514"/>
      <c r="H41" s="514"/>
      <c r="I41" s="514"/>
      <c r="J41" s="514"/>
      <c r="K41" s="514"/>
      <c r="L41" s="514"/>
      <c r="M41" s="514"/>
      <c r="N41" s="514"/>
      <c r="O41" s="59"/>
      <c r="P41" s="56"/>
      <c r="Q41" s="59"/>
      <c r="R41" s="56"/>
      <c r="S41" s="56"/>
      <c r="T41" s="56"/>
      <c r="U41" s="60"/>
      <c r="V41" s="56"/>
      <c r="W41" s="56"/>
      <c r="X41" s="56"/>
      <c r="Z41" s="297"/>
    </row>
    <row r="42" spans="2:26">
      <c r="B42" s="26" t="str">
        <f>IF(Contents!$B$2=2,"When calculating the number of accidents, a group accident is counted as one accident.","При расчете количества несчастных случаев групповой несчастный случай учитывается как один случай.")</f>
        <v>При расчете количества несчастных случаев групповой несчастный случай учитывается как один случай.</v>
      </c>
      <c r="C42" s="294"/>
      <c r="D42" s="514"/>
      <c r="E42" s="514"/>
      <c r="F42" s="514"/>
      <c r="G42" s="514"/>
      <c r="H42" s="514"/>
      <c r="I42" s="514"/>
      <c r="J42" s="514"/>
      <c r="K42" s="514"/>
      <c r="L42" s="514"/>
      <c r="M42" s="514"/>
      <c r="N42" s="514"/>
      <c r="O42" s="59"/>
      <c r="P42" s="56"/>
      <c r="Q42" s="59"/>
      <c r="R42" s="56"/>
      <c r="S42" s="56"/>
      <c r="T42" s="56"/>
      <c r="U42" s="60"/>
      <c r="V42" s="56"/>
      <c r="W42" s="56"/>
      <c r="X42" s="56"/>
      <c r="Z42" s="297"/>
    </row>
    <row r="43" spans="2:26">
      <c r="B43" s="26" t="str">
        <f>IF(Contents!$B$2=2, C45, B45)</f>
        <v xml:space="preserve">В соответствии со ст. 226 Трудового кодекса РФ под микроповреждениями (микротравмами) понимаются ссадины, кровоподтеки, ушибы мягких тканей, поверхностные раны и другие повреждения, не повлекшие расстройства здоровья или наступление временной нетрудоспособности. </v>
      </c>
      <c r="C43" s="294"/>
      <c r="D43" s="514"/>
      <c r="E43" s="514"/>
      <c r="F43" s="514"/>
      <c r="G43" s="514"/>
      <c r="H43" s="514"/>
      <c r="I43" s="514"/>
      <c r="J43" s="514"/>
      <c r="K43" s="514"/>
      <c r="L43" s="514"/>
      <c r="M43" s="514"/>
      <c r="N43" s="514"/>
      <c r="O43" s="59"/>
      <c r="P43" s="56"/>
      <c r="Q43" s="59"/>
      <c r="R43" s="56"/>
      <c r="S43" s="56"/>
      <c r="T43" s="56"/>
      <c r="U43" s="60"/>
      <c r="V43" s="56"/>
      <c r="W43" s="56"/>
      <c r="X43" s="56"/>
      <c r="Z43" s="297"/>
    </row>
    <row r="44" spans="2:26">
      <c r="B44" s="26" t="str">
        <f>IF(Contents!$B$2=2, E45, D45)</f>
        <v xml:space="preserve">При расчете количества регистрируемых производственных травм учитывается количество пострадавших и погибших при несчастных случаях, связанных с производством, а также случаи микроповреждений, при которых потребовалось оказание медицинской помощи квалифицированным медицинским персоналом.  </v>
      </c>
      <c r="C44" s="294"/>
      <c r="D44" s="514"/>
      <c r="E44" s="514"/>
      <c r="F44" s="514"/>
      <c r="G44" s="514"/>
      <c r="H44" s="514"/>
      <c r="I44" s="514"/>
      <c r="J44" s="514"/>
      <c r="K44" s="514"/>
      <c r="L44" s="514"/>
      <c r="M44" s="514"/>
      <c r="N44" s="514"/>
      <c r="O44" s="59"/>
      <c r="P44" s="56"/>
      <c r="Q44" s="59"/>
      <c r="R44" s="56"/>
      <c r="S44" s="56"/>
      <c r="T44" s="56"/>
      <c r="U44" s="60"/>
      <c r="V44" s="56"/>
      <c r="W44" s="56"/>
      <c r="X44" s="56"/>
      <c r="Z44" s="297"/>
    </row>
    <row r="45" spans="2:26">
      <c r="B45" s="441" t="s">
        <v>153</v>
      </c>
      <c r="C45" s="442" t="s">
        <v>154</v>
      </c>
      <c r="D45" s="59" t="s">
        <v>155</v>
      </c>
      <c r="E45" s="59" t="s">
        <v>156</v>
      </c>
      <c r="F45" s="59"/>
      <c r="G45" s="59"/>
      <c r="H45" s="59"/>
      <c r="I45" s="59"/>
      <c r="J45" s="59"/>
      <c r="K45" s="59"/>
      <c r="L45" s="59"/>
      <c r="M45" s="59"/>
      <c r="N45" s="59"/>
      <c r="O45" s="59"/>
      <c r="P45" s="56"/>
      <c r="Q45" s="59"/>
      <c r="R45" s="618"/>
      <c r="S45" s="618"/>
      <c r="T45" s="618"/>
      <c r="U45" s="618"/>
      <c r="V45" s="618"/>
      <c r="W45" s="618"/>
      <c r="X45" s="56"/>
      <c r="Z45" s="297"/>
    </row>
    <row r="46" spans="2:26">
      <c r="B46" s="450"/>
      <c r="C46" s="450"/>
      <c r="D46" s="515"/>
      <c r="E46" s="515"/>
      <c r="F46" s="515"/>
      <c r="G46" s="515"/>
      <c r="H46" s="515"/>
      <c r="I46" s="515"/>
      <c r="J46" s="515"/>
      <c r="K46" s="515"/>
      <c r="L46" s="515"/>
      <c r="M46" s="515"/>
      <c r="N46" s="515"/>
      <c r="O46" s="59"/>
      <c r="P46" s="56"/>
      <c r="Q46" s="59"/>
      <c r="R46" s="56"/>
      <c r="S46" s="56"/>
      <c r="T46" s="56"/>
      <c r="U46" s="60"/>
      <c r="V46" s="56"/>
      <c r="W46" s="56"/>
      <c r="X46" s="56"/>
      <c r="Z46" s="297"/>
    </row>
    <row r="47" spans="2:26">
      <c r="B47" s="75" t="str">
        <f>IF(Contents!$B$2=2,"Work-related injury rates among contractors","Показатели производственного травматизма по подрядным организациям")</f>
        <v>Показатели производственного травматизма по подрядным организациям</v>
      </c>
      <c r="C47" s="432"/>
      <c r="D47" s="433"/>
      <c r="E47" s="433"/>
      <c r="F47" s="433"/>
      <c r="G47" s="433"/>
      <c r="H47" s="433"/>
      <c r="I47" s="433"/>
      <c r="J47" s="433"/>
      <c r="K47" s="433"/>
      <c r="L47" s="433"/>
      <c r="M47" s="433"/>
      <c r="N47" s="433"/>
      <c r="O47" s="59"/>
      <c r="P47" s="56"/>
      <c r="Q47" s="59"/>
      <c r="R47" s="56"/>
      <c r="S47" s="56"/>
      <c r="T47" s="56"/>
      <c r="U47" s="60"/>
      <c r="V47" s="56"/>
      <c r="W47" s="56"/>
      <c r="X47" s="56"/>
      <c r="Z47" s="297"/>
    </row>
    <row r="48" spans="2:26">
      <c r="B48" s="23" t="str">
        <f>IF(Contents!$B$2=2,"per 1,000,000 hours worked","на 1 млн отработанных часов")</f>
        <v>на 1 млн отработанных часов</v>
      </c>
      <c r="C48" s="77"/>
      <c r="D48" s="446"/>
      <c r="E48" s="446"/>
      <c r="F48" s="446"/>
      <c r="G48" s="446"/>
      <c r="H48" s="446"/>
      <c r="I48" s="446"/>
      <c r="J48" s="446"/>
      <c r="K48" s="446"/>
      <c r="L48" s="446"/>
      <c r="M48" s="446"/>
      <c r="N48" s="446"/>
      <c r="O48" s="58"/>
      <c r="P48" s="56"/>
      <c r="Q48" s="58"/>
      <c r="R48" s="56"/>
      <c r="S48" s="56"/>
      <c r="T48" s="56"/>
      <c r="U48" s="60"/>
      <c r="V48" s="56"/>
      <c r="W48" s="56"/>
      <c r="X48" s="56"/>
      <c r="Z48" s="297"/>
    </row>
    <row r="49" spans="2:26" ht="25.5">
      <c r="B49" s="93" t="str">
        <f>IF(Contents!$B$2=2,"High-consequence work-related injuries rate","Коэффициент тяжелого травматизма")</f>
        <v>Коэффициент тяжелого травматизма</v>
      </c>
      <c r="C49" s="434" t="str">
        <f>IF(Contents!$B$2=2,"rate","коэффициент")</f>
        <v>коэффициент</v>
      </c>
      <c r="D49" s="58" t="s">
        <v>185</v>
      </c>
      <c r="E49" s="58" t="s">
        <v>185</v>
      </c>
      <c r="F49" s="58" t="s">
        <v>185</v>
      </c>
      <c r="G49" s="58" t="s">
        <v>185</v>
      </c>
      <c r="H49" s="58" t="s">
        <v>185</v>
      </c>
      <c r="I49" s="58" t="s">
        <v>185</v>
      </c>
      <c r="J49" s="58" t="s">
        <v>185</v>
      </c>
      <c r="K49" s="58" t="s">
        <v>185</v>
      </c>
      <c r="L49" s="435">
        <v>0.03</v>
      </c>
      <c r="M49" s="435">
        <v>0.06</v>
      </c>
      <c r="N49" s="24">
        <v>0.16</v>
      </c>
      <c r="O49" s="58"/>
      <c r="P49" s="598" t="str">
        <f>IF(Contents!$B$2=2,"Yes","Да")</f>
        <v>Да</v>
      </c>
      <c r="Q49" s="58"/>
      <c r="R49" s="297" t="s">
        <v>143</v>
      </c>
      <c r="S49" s="56"/>
      <c r="T49" s="56"/>
      <c r="U49" s="60"/>
      <c r="V49" s="56"/>
      <c r="W49" s="598">
        <v>1</v>
      </c>
      <c r="X49" s="56"/>
      <c r="Z49" s="297" t="s">
        <v>174</v>
      </c>
    </row>
    <row r="50" spans="2:26" ht="25.5">
      <c r="B50" s="93" t="str">
        <f>IF(Contents!$B$2=2,"FR","FR")</f>
        <v>FR</v>
      </c>
      <c r="C50" s="434" t="str">
        <f>IF(Contents!$B$2=2,"rate","коэффициент")</f>
        <v>коэффициент</v>
      </c>
      <c r="D50" s="58" t="s">
        <v>185</v>
      </c>
      <c r="E50" s="58" t="s">
        <v>185</v>
      </c>
      <c r="F50" s="58" t="s">
        <v>185</v>
      </c>
      <c r="G50" s="58" t="s">
        <v>185</v>
      </c>
      <c r="H50" s="58" t="s">
        <v>185</v>
      </c>
      <c r="I50" s="58" t="s">
        <v>185</v>
      </c>
      <c r="J50" s="58" t="s">
        <v>185</v>
      </c>
      <c r="K50" s="58" t="s">
        <v>185</v>
      </c>
      <c r="L50" s="435">
        <v>0.03</v>
      </c>
      <c r="M50" s="435">
        <v>0</v>
      </c>
      <c r="N50" s="24">
        <v>7.0000000000000007E-2</v>
      </c>
      <c r="O50" s="64"/>
      <c r="P50" s="598" t="str">
        <f>IF(Contents!$B$2=2,"Yes","Да")</f>
        <v>Да</v>
      </c>
      <c r="Q50" s="58"/>
      <c r="R50" s="297" t="s">
        <v>143</v>
      </c>
      <c r="S50" s="56" t="s">
        <v>144</v>
      </c>
      <c r="T50" s="56" t="s">
        <v>145</v>
      </c>
      <c r="U50" s="60"/>
      <c r="V50" s="56"/>
      <c r="W50" s="598">
        <v>1</v>
      </c>
      <c r="X50" s="56"/>
      <c r="Z50" s="297" t="s">
        <v>174</v>
      </c>
    </row>
    <row r="51" spans="2:26" ht="25.5">
      <c r="B51" s="93" t="str">
        <f>IF(Contents!$B$2=2,"LTIFR","LTIFR")</f>
        <v>LTIFR</v>
      </c>
      <c r="C51" s="434" t="str">
        <f>IF(Contents!$B$2=2,"rate","коэффициент")</f>
        <v>коэффициент</v>
      </c>
      <c r="D51" s="58" t="s">
        <v>185</v>
      </c>
      <c r="E51" s="58" t="s">
        <v>185</v>
      </c>
      <c r="F51" s="58" t="s">
        <v>185</v>
      </c>
      <c r="G51" s="58" t="s">
        <v>185</v>
      </c>
      <c r="H51" s="58" t="s">
        <v>185</v>
      </c>
      <c r="I51" s="435">
        <v>0.3</v>
      </c>
      <c r="J51" s="435">
        <v>0.46</v>
      </c>
      <c r="K51" s="435">
        <v>0.48</v>
      </c>
      <c r="L51" s="435">
        <v>0.36</v>
      </c>
      <c r="M51" s="435">
        <v>0.5</v>
      </c>
      <c r="N51" s="24">
        <v>0.84</v>
      </c>
      <c r="O51" s="64"/>
      <c r="P51" s="598" t="str">
        <f>IF(Contents!$B$2=2,"Yes","Да")</f>
        <v>Да</v>
      </c>
      <c r="Q51" s="58"/>
      <c r="R51" s="56"/>
      <c r="S51" s="56"/>
      <c r="T51" s="56" t="s">
        <v>145</v>
      </c>
      <c r="U51" s="273"/>
      <c r="V51" s="56"/>
      <c r="W51" s="598">
        <v>1</v>
      </c>
      <c r="X51" s="56"/>
      <c r="Z51" s="297" t="s">
        <v>174</v>
      </c>
    </row>
    <row r="52" spans="2:26">
      <c r="B52" s="23" t="str">
        <f>IF(Contents!$B$2=2,"per 200,000 hours worked","на 200 тыс. отработанных часов")</f>
        <v>на 200 тыс. отработанных часов</v>
      </c>
      <c r="C52" s="77"/>
      <c r="D52" s="446"/>
      <c r="E52" s="446"/>
      <c r="F52" s="446"/>
      <c r="G52" s="446"/>
      <c r="H52" s="446"/>
      <c r="I52" s="446"/>
      <c r="J52" s="446"/>
      <c r="K52" s="446"/>
      <c r="L52" s="446"/>
      <c r="M52" s="446"/>
      <c r="N52" s="446"/>
      <c r="O52" s="58"/>
      <c r="P52" s="598" t="str">
        <f>IF(Contents!$B$2=2,"Yes","Да")</f>
        <v>Да</v>
      </c>
      <c r="Q52" s="58"/>
      <c r="R52" s="56"/>
      <c r="S52" s="56"/>
      <c r="T52" s="56"/>
      <c r="U52" s="60"/>
      <c r="V52" s="56"/>
      <c r="W52" s="598"/>
      <c r="X52" s="56"/>
      <c r="Z52" s="297"/>
    </row>
    <row r="53" spans="2:26" ht="25.5">
      <c r="B53" s="93" t="str">
        <f>IF(Contents!$B$2=2,"High-consequence work-related injuries rate","Коэффициент тяжелого травматизма")</f>
        <v>Коэффициент тяжелого травматизма</v>
      </c>
      <c r="C53" s="434" t="str">
        <f>IF(Contents!$B$2=2,"rate","коэффициент")</f>
        <v>коэффициент</v>
      </c>
      <c r="D53" s="58" t="s">
        <v>185</v>
      </c>
      <c r="E53" s="58" t="s">
        <v>185</v>
      </c>
      <c r="F53" s="58" t="s">
        <v>185</v>
      </c>
      <c r="G53" s="58" t="s">
        <v>185</v>
      </c>
      <c r="H53" s="58" t="s">
        <v>185</v>
      </c>
      <c r="I53" s="58" t="s">
        <v>185</v>
      </c>
      <c r="J53" s="58" t="s">
        <v>185</v>
      </c>
      <c r="K53" s="58" t="s">
        <v>185</v>
      </c>
      <c r="L53" s="451">
        <v>5.0000000000000001E-3</v>
      </c>
      <c r="M53" s="451">
        <v>1.2E-2</v>
      </c>
      <c r="N53" s="70">
        <v>3.2000000000000001E-2</v>
      </c>
      <c r="O53" s="436"/>
      <c r="P53" s="598" t="str">
        <f>IF(Contents!$B$2=2,"Yes","Да")</f>
        <v>Да</v>
      </c>
      <c r="Q53" s="58"/>
      <c r="R53" s="297" t="s">
        <v>143</v>
      </c>
      <c r="S53" s="56" t="s">
        <v>144</v>
      </c>
      <c r="T53" s="56" t="s">
        <v>145</v>
      </c>
      <c r="U53" s="60"/>
      <c r="V53" s="56"/>
      <c r="W53" s="598">
        <v>1</v>
      </c>
      <c r="X53" s="56"/>
      <c r="Z53" s="297" t="s">
        <v>174</v>
      </c>
    </row>
    <row r="54" spans="2:26" ht="25.5">
      <c r="B54" s="93" t="str">
        <f>IF(Contents!$B$2=2,"FR","FR")</f>
        <v>FR</v>
      </c>
      <c r="C54" s="434" t="str">
        <f>IF(Contents!$B$2=2,"rate","коэффициент")</f>
        <v>коэффициент</v>
      </c>
      <c r="D54" s="58" t="s">
        <v>185</v>
      </c>
      <c r="E54" s="58" t="s">
        <v>185</v>
      </c>
      <c r="F54" s="58" t="s">
        <v>185</v>
      </c>
      <c r="G54" s="58" t="s">
        <v>185</v>
      </c>
      <c r="H54" s="58" t="s">
        <v>185</v>
      </c>
      <c r="I54" s="58" t="s">
        <v>185</v>
      </c>
      <c r="J54" s="58" t="s">
        <v>185</v>
      </c>
      <c r="K54" s="58" t="s">
        <v>185</v>
      </c>
      <c r="L54" s="451">
        <v>5.0000000000000001E-3</v>
      </c>
      <c r="M54" s="451">
        <v>0</v>
      </c>
      <c r="N54" s="70">
        <v>1.4E-2</v>
      </c>
      <c r="O54" s="58"/>
      <c r="P54" s="598" t="str">
        <f>IF(Contents!$B$2=2,"Yes","Да")</f>
        <v>Да</v>
      </c>
      <c r="Q54" s="58"/>
      <c r="R54" s="297" t="s">
        <v>143</v>
      </c>
      <c r="S54" s="56" t="s">
        <v>144</v>
      </c>
      <c r="T54" s="56" t="s">
        <v>145</v>
      </c>
      <c r="U54" s="60"/>
      <c r="V54" s="56"/>
      <c r="W54" s="598">
        <v>1</v>
      </c>
      <c r="X54" s="56"/>
      <c r="Z54" s="297" t="s">
        <v>174</v>
      </c>
    </row>
    <row r="55" spans="2:26" ht="25.5">
      <c r="B55" s="93" t="str">
        <f>IF(Contents!$B$2=2,"LTIFR","LTIFR")</f>
        <v>LTIFR</v>
      </c>
      <c r="C55" s="434" t="str">
        <f>IF(Contents!$B$2=2,"rate","коэффициент")</f>
        <v>коэффициент</v>
      </c>
      <c r="D55" s="58" t="s">
        <v>185</v>
      </c>
      <c r="E55" s="58" t="s">
        <v>185</v>
      </c>
      <c r="F55" s="58" t="s">
        <v>185</v>
      </c>
      <c r="G55" s="58" t="s">
        <v>185</v>
      </c>
      <c r="H55" s="58" t="s">
        <v>185</v>
      </c>
      <c r="I55" s="451">
        <v>0.06</v>
      </c>
      <c r="J55" s="451">
        <v>9.1999999999999998E-2</v>
      </c>
      <c r="K55" s="451">
        <v>9.7000000000000003E-2</v>
      </c>
      <c r="L55" s="451">
        <v>7.2999999999999995E-2</v>
      </c>
      <c r="M55" s="451">
        <v>0.1</v>
      </c>
      <c r="N55" s="70">
        <v>0.16700000000000001</v>
      </c>
      <c r="O55" s="64"/>
      <c r="P55" s="598" t="str">
        <f>IF(Contents!$B$2=2,"Yes","Да")</f>
        <v>Да</v>
      </c>
      <c r="Q55" s="58"/>
      <c r="R55" s="297"/>
      <c r="T55" s="56" t="s">
        <v>145</v>
      </c>
      <c r="U55" s="60"/>
      <c r="V55" s="56"/>
      <c r="W55" s="598">
        <v>1</v>
      </c>
      <c r="X55" s="56"/>
      <c r="Z55" s="297" t="s">
        <v>174</v>
      </c>
    </row>
    <row r="56" spans="2:26">
      <c r="B56" s="452"/>
      <c r="C56" s="452"/>
      <c r="D56" s="516"/>
      <c r="E56" s="516"/>
      <c r="F56" s="516"/>
      <c r="G56" s="516"/>
      <c r="H56" s="516"/>
      <c r="I56" s="516"/>
      <c r="J56" s="516"/>
      <c r="K56" s="516"/>
      <c r="L56" s="516"/>
      <c r="M56" s="516"/>
      <c r="N56" s="516"/>
      <c r="O56" s="59"/>
      <c r="P56" s="56"/>
      <c r="Q56" s="59"/>
      <c r="R56" s="56"/>
      <c r="S56" s="56"/>
      <c r="T56" s="56"/>
      <c r="U56" s="60"/>
      <c r="V56" s="56"/>
      <c r="W56" s="56"/>
      <c r="X56" s="56"/>
      <c r="Z56" s="297"/>
    </row>
    <row r="57" spans="2:26">
      <c r="B57" s="443" t="str">
        <f>IF(Contents!$B$2=2,"Number of employee work-related injuries among contractors","Коэффициенты производственного травматизма по подрядным организациям")</f>
        <v>Коэффициенты производственного травматизма по подрядным организациям</v>
      </c>
      <c r="C57" s="444"/>
      <c r="D57" s="296"/>
      <c r="E57" s="296"/>
      <c r="F57" s="296"/>
      <c r="G57" s="296"/>
      <c r="H57" s="296"/>
      <c r="I57" s="296"/>
      <c r="J57" s="296"/>
      <c r="K57" s="296"/>
      <c r="L57" s="296"/>
      <c r="M57" s="296"/>
      <c r="N57" s="296"/>
      <c r="O57" s="59"/>
      <c r="P57" s="56"/>
      <c r="Q57" s="59"/>
      <c r="R57" s="56"/>
      <c r="S57" s="56"/>
      <c r="T57" s="56"/>
      <c r="U57" s="60"/>
      <c r="V57" s="56"/>
      <c r="W57" s="56"/>
      <c r="X57" s="56"/>
      <c r="Z57" s="297"/>
    </row>
    <row r="58" spans="2:26" ht="25.5">
      <c r="B58" s="445" t="str">
        <f>IF(Contents!$B$2=2,"Number of work-related accidents","Количество несчастных случаев на производстве")</f>
        <v>Количество несчастных случаев на производстве</v>
      </c>
      <c r="C58" s="518" t="str">
        <f>IF(Contents!$B$2=2,"unit"," единиц")</f>
        <v xml:space="preserve"> единиц</v>
      </c>
      <c r="D58" s="446" t="s">
        <v>185</v>
      </c>
      <c r="E58" s="446" t="s">
        <v>185</v>
      </c>
      <c r="F58" s="446" t="s">
        <v>185</v>
      </c>
      <c r="G58" s="446" t="s">
        <v>185</v>
      </c>
      <c r="H58" s="446" t="s">
        <v>185</v>
      </c>
      <c r="I58" s="446">
        <v>112</v>
      </c>
      <c r="J58" s="446">
        <v>110</v>
      </c>
      <c r="K58" s="446">
        <v>89</v>
      </c>
      <c r="L58" s="446">
        <v>52</v>
      </c>
      <c r="M58" s="446">
        <v>56</v>
      </c>
      <c r="N58" s="446">
        <v>56</v>
      </c>
      <c r="O58" s="58"/>
      <c r="P58" s="598"/>
      <c r="Q58" s="58"/>
      <c r="R58" s="56"/>
      <c r="S58" s="56"/>
      <c r="T58" s="56"/>
      <c r="U58" s="60"/>
      <c r="V58" s="56"/>
      <c r="W58" s="598"/>
      <c r="X58" s="56"/>
      <c r="Z58" s="297" t="s">
        <v>174</v>
      </c>
    </row>
    <row r="59" spans="2:26" ht="25.5">
      <c r="B59" s="93" t="str">
        <f>IF(Contents!$B$2=2,"Severe accidents","Тяжелые случаи")</f>
        <v>Тяжелые случаи</v>
      </c>
      <c r="C59" s="447" t="str">
        <f>IF(Contents!$B$2=2,"unit"," единиц")</f>
        <v xml:space="preserve"> единиц</v>
      </c>
      <c r="D59" s="435" t="s">
        <v>185</v>
      </c>
      <c r="E59" s="435" t="s">
        <v>185</v>
      </c>
      <c r="F59" s="435" t="s">
        <v>185</v>
      </c>
      <c r="G59" s="435" t="s">
        <v>185</v>
      </c>
      <c r="H59" s="435" t="s">
        <v>185</v>
      </c>
      <c r="I59" s="435" t="s">
        <v>185</v>
      </c>
      <c r="J59" s="435" t="s">
        <v>185</v>
      </c>
      <c r="K59" s="435" t="s">
        <v>185</v>
      </c>
      <c r="L59" s="58">
        <v>4</v>
      </c>
      <c r="M59" s="58">
        <v>7</v>
      </c>
      <c r="N59" s="98">
        <v>11</v>
      </c>
      <c r="O59" s="58"/>
      <c r="P59" s="598"/>
      <c r="Q59" s="58"/>
      <c r="R59" s="56"/>
      <c r="S59" s="56"/>
      <c r="T59" s="56"/>
      <c r="U59" s="60"/>
      <c r="V59" s="56"/>
      <c r="W59" s="598"/>
      <c r="X59" s="56"/>
      <c r="Z59" s="297" t="s">
        <v>174</v>
      </c>
    </row>
    <row r="60" spans="2:26" ht="25.5">
      <c r="B60" s="93" t="str">
        <f>IF(Contents!$B$2=2,"Fatalities","Смертельные случаи")</f>
        <v>Смертельные случаи</v>
      </c>
      <c r="C60" s="447" t="str">
        <f>IF(Contents!$B$2=2,"unit"," единиц")</f>
        <v xml:space="preserve"> единиц</v>
      </c>
      <c r="D60" s="435" t="s">
        <v>185</v>
      </c>
      <c r="E60" s="435" t="s">
        <v>185</v>
      </c>
      <c r="F60" s="435" t="s">
        <v>185</v>
      </c>
      <c r="G60" s="435" t="s">
        <v>185</v>
      </c>
      <c r="H60" s="58" t="s">
        <v>185</v>
      </c>
      <c r="I60" s="58">
        <v>3</v>
      </c>
      <c r="J60" s="58">
        <v>6</v>
      </c>
      <c r="K60" s="58">
        <v>3</v>
      </c>
      <c r="L60" s="58">
        <v>3</v>
      </c>
      <c r="M60" s="58">
        <v>0</v>
      </c>
      <c r="N60" s="98">
        <v>5</v>
      </c>
      <c r="O60" s="58"/>
      <c r="P60" s="598"/>
      <c r="Q60" s="58"/>
      <c r="R60" s="56"/>
      <c r="S60" s="56"/>
      <c r="T60" s="56"/>
      <c r="U60" s="60"/>
      <c r="V60" s="56"/>
      <c r="W60" s="598"/>
      <c r="X60" s="56"/>
      <c r="Z60" s="297" t="s">
        <v>174</v>
      </c>
    </row>
    <row r="61" spans="2:26" ht="36">
      <c r="B61" s="453" t="str">
        <f>IF(Contents!$B$2=2,"Number of contractors affected from work-related accidents","Количество пострадавших от связанных с производством несчастных случаев")</f>
        <v>Количество пострадавших от связанных с производством несчастных случаев</v>
      </c>
      <c r="C61" s="77" t="str">
        <f>IF(Contents!$B$2=2,"people"," человек")</f>
        <v xml:space="preserve"> человек</v>
      </c>
      <c r="D61" s="446" t="s">
        <v>185</v>
      </c>
      <c r="E61" s="446" t="s">
        <v>185</v>
      </c>
      <c r="F61" s="446" t="s">
        <v>185</v>
      </c>
      <c r="G61" s="446" t="s">
        <v>185</v>
      </c>
      <c r="H61" s="446" t="s">
        <v>185</v>
      </c>
      <c r="I61" s="446">
        <v>112</v>
      </c>
      <c r="J61" s="446">
        <v>122</v>
      </c>
      <c r="K61" s="446">
        <v>89</v>
      </c>
      <c r="L61" s="446">
        <v>55</v>
      </c>
      <c r="M61" s="446">
        <v>56</v>
      </c>
      <c r="N61" s="446">
        <v>58</v>
      </c>
      <c r="O61" s="58"/>
      <c r="P61" s="598" t="str">
        <f>IF(Contents!$B$2=2,"Yes","Да")</f>
        <v>Да</v>
      </c>
      <c r="Q61" s="58"/>
      <c r="R61" s="297" t="s">
        <v>143</v>
      </c>
      <c r="S61" s="56"/>
      <c r="T61" s="56"/>
      <c r="U61" s="60"/>
      <c r="V61" s="56"/>
      <c r="W61" s="598">
        <v>1</v>
      </c>
      <c r="X61" s="56"/>
      <c r="Z61" s="297" t="s">
        <v>174</v>
      </c>
    </row>
    <row r="62" spans="2:26" ht="38.25">
      <c r="B62" s="93" t="str">
        <f>IF(Contents!$B$2=2,"Minor injuries","Легкие травмы")</f>
        <v>Легкие травмы</v>
      </c>
      <c r="C62" s="434" t="str">
        <f>IF(Contents!$B$2=2,"people"," человек")</f>
        <v xml:space="preserve"> человек</v>
      </c>
      <c r="D62" s="58" t="s">
        <v>185</v>
      </c>
      <c r="E62" s="58" t="s">
        <v>185</v>
      </c>
      <c r="F62" s="58" t="s">
        <v>185</v>
      </c>
      <c r="G62" s="58" t="s">
        <v>185</v>
      </c>
      <c r="H62" s="58" t="s">
        <v>185</v>
      </c>
      <c r="I62" s="58" t="s">
        <v>185</v>
      </c>
      <c r="J62" s="58" t="s">
        <v>185</v>
      </c>
      <c r="K62" s="58" t="s">
        <v>185</v>
      </c>
      <c r="L62" s="58">
        <v>47</v>
      </c>
      <c r="M62" s="58">
        <v>49</v>
      </c>
      <c r="N62" s="98">
        <v>42</v>
      </c>
      <c r="O62" s="58"/>
      <c r="P62" s="598" t="str">
        <f>IF(Contents!$B$2=2,"Yes","Да")</f>
        <v>Да</v>
      </c>
      <c r="Q62" s="58"/>
      <c r="R62" s="56"/>
      <c r="S62" s="56"/>
      <c r="T62" s="56"/>
      <c r="U62" s="60"/>
      <c r="V62" s="56"/>
      <c r="W62" s="598">
        <v>1</v>
      </c>
      <c r="X62" s="56"/>
      <c r="Z62" s="297" t="s">
        <v>182</v>
      </c>
    </row>
    <row r="63" spans="2:26" ht="25.5">
      <c r="B63" s="93" t="str">
        <f>IF(Contents!$B$2=2,"Severe injuries","Тяжелые травмы")</f>
        <v>Тяжелые травмы</v>
      </c>
      <c r="C63" s="434" t="str">
        <f>IF(Contents!$B$2=2,"people"," человек")</f>
        <v xml:space="preserve"> человек</v>
      </c>
      <c r="D63" s="58" t="s">
        <v>185</v>
      </c>
      <c r="E63" s="58" t="s">
        <v>185</v>
      </c>
      <c r="F63" s="58" t="s">
        <v>185</v>
      </c>
      <c r="G63" s="58" t="s">
        <v>185</v>
      </c>
      <c r="H63" s="58" t="s">
        <v>185</v>
      </c>
      <c r="I63" s="58" t="s">
        <v>185</v>
      </c>
      <c r="J63" s="58" t="s">
        <v>185</v>
      </c>
      <c r="K63" s="58" t="s">
        <v>185</v>
      </c>
      <c r="L63" s="58">
        <v>4</v>
      </c>
      <c r="M63" s="58">
        <v>7</v>
      </c>
      <c r="N63" s="98">
        <v>11</v>
      </c>
      <c r="O63" s="58"/>
      <c r="P63" s="598" t="str">
        <f>IF(Contents!$B$2=2,"Yes","Да")</f>
        <v>Да</v>
      </c>
      <c r="Q63" s="58"/>
      <c r="R63" s="297" t="s">
        <v>143</v>
      </c>
      <c r="S63" s="56"/>
      <c r="T63" s="56"/>
      <c r="U63" s="60"/>
      <c r="V63" s="56"/>
      <c r="W63" s="598">
        <v>1</v>
      </c>
      <c r="X63" s="56"/>
      <c r="Z63" s="297" t="s">
        <v>174</v>
      </c>
    </row>
    <row r="64" spans="2:26" ht="25.5">
      <c r="B64" s="93" t="str">
        <f>IF(Contents!$B$2=2,"Fatalities","Травмы со смертельным исходом")</f>
        <v>Травмы со смертельным исходом</v>
      </c>
      <c r="C64" s="434" t="str">
        <f>IF(Contents!$B$2=2,"people"," человек")</f>
        <v xml:space="preserve"> человек</v>
      </c>
      <c r="D64" s="58" t="s">
        <v>185</v>
      </c>
      <c r="E64" s="58" t="s">
        <v>185</v>
      </c>
      <c r="F64" s="58" t="s">
        <v>185</v>
      </c>
      <c r="G64" s="58" t="s">
        <v>185</v>
      </c>
      <c r="H64" s="58" t="s">
        <v>185</v>
      </c>
      <c r="I64" s="58">
        <v>3</v>
      </c>
      <c r="J64" s="58">
        <v>6</v>
      </c>
      <c r="K64" s="58">
        <v>3</v>
      </c>
      <c r="L64" s="58">
        <v>4</v>
      </c>
      <c r="M64" s="58">
        <v>0</v>
      </c>
      <c r="N64" s="98">
        <v>5</v>
      </c>
      <c r="O64" s="59"/>
      <c r="P64" s="598" t="str">
        <f>IF(Contents!$B$2=2,"Yes","Да")</f>
        <v>Да</v>
      </c>
      <c r="Q64" s="58"/>
      <c r="R64" s="297" t="s">
        <v>143</v>
      </c>
      <c r="S64" s="56"/>
      <c r="T64" s="56"/>
      <c r="U64" s="273"/>
      <c r="V64" s="56"/>
      <c r="W64" s="598">
        <v>1</v>
      </c>
      <c r="X64" s="56"/>
      <c r="Z64" s="297" t="s">
        <v>174</v>
      </c>
    </row>
    <row r="65" spans="2:26">
      <c r="B65" s="454"/>
      <c r="D65" s="511"/>
      <c r="E65" s="511"/>
      <c r="F65" s="511"/>
      <c r="G65" s="511"/>
      <c r="H65" s="511"/>
      <c r="I65" s="512"/>
      <c r="J65" s="511"/>
      <c r="K65" s="511"/>
      <c r="L65" s="511"/>
      <c r="M65" s="511"/>
      <c r="N65" s="511"/>
      <c r="V65" s="56"/>
      <c r="W65" s="56"/>
      <c r="X65" s="56"/>
    </row>
    <row r="66" spans="2:26">
      <c r="B66" s="443" t="str">
        <f>IF(Contents!$B$2=2,"Number of occupational diseases at the NOVATEK Group","Показатели профессиональной заболеваемости по Группе")</f>
        <v>Показатели профессиональной заболеваемости по Группе</v>
      </c>
      <c r="C66" s="444"/>
      <c r="D66" s="296"/>
      <c r="E66" s="296"/>
      <c r="F66" s="296"/>
      <c r="G66" s="296"/>
      <c r="H66" s="296"/>
      <c r="I66" s="296"/>
      <c r="J66" s="296"/>
      <c r="K66" s="296"/>
      <c r="L66" s="296"/>
      <c r="M66" s="296"/>
      <c r="N66" s="296"/>
      <c r="O66" s="59"/>
      <c r="P66" s="56"/>
      <c r="Q66" s="59"/>
      <c r="R66" s="56"/>
      <c r="S66" s="56"/>
      <c r="T66" s="56"/>
      <c r="U66" s="60"/>
      <c r="V66" s="56"/>
      <c r="W66" s="56"/>
      <c r="X66" s="56"/>
      <c r="Z66" s="297"/>
    </row>
    <row r="67" spans="2:26" ht="39.75" customHeight="1">
      <c r="B67" s="455" t="str">
        <f>IF(Contents!$B$2=2,"Number of occupational diseases registered for the first time","Количество впервые зарегистрированных профессиональных заболеваний")</f>
        <v>Количество впервые зарегистрированных профессиональных заболеваний</v>
      </c>
      <c r="C67" s="434" t="str">
        <f>IF(Contents!$B$2=2,"case"," случаев")</f>
        <v xml:space="preserve"> случаев</v>
      </c>
      <c r="D67" s="58">
        <v>0</v>
      </c>
      <c r="E67" s="58">
        <v>0</v>
      </c>
      <c r="F67" s="58">
        <v>0</v>
      </c>
      <c r="G67" s="58">
        <v>0</v>
      </c>
      <c r="H67" s="58">
        <v>0</v>
      </c>
      <c r="I67" s="58">
        <v>0</v>
      </c>
      <c r="J67" s="58">
        <v>0</v>
      </c>
      <c r="K67" s="58">
        <v>0</v>
      </c>
      <c r="L67" s="58">
        <v>0</v>
      </c>
      <c r="M67" s="58">
        <v>0</v>
      </c>
      <c r="N67" s="98">
        <v>0</v>
      </c>
      <c r="O67" s="58"/>
      <c r="P67" s="598" t="str">
        <f>IF(Contents!$B$2=2,"Yes","Да")</f>
        <v>Да</v>
      </c>
      <c r="Q67" s="58"/>
      <c r="R67" s="297" t="s">
        <v>157</v>
      </c>
      <c r="S67" s="56"/>
      <c r="T67" s="56"/>
      <c r="U67" s="60"/>
      <c r="V67" s="56"/>
      <c r="W67" s="598">
        <v>1</v>
      </c>
      <c r="X67" s="56"/>
      <c r="Z67" s="297" t="s">
        <v>174</v>
      </c>
    </row>
    <row r="68" spans="2:26" ht="34.5" customHeight="1">
      <c r="B68" s="449"/>
      <c r="C68" s="447"/>
      <c r="D68" s="58"/>
      <c r="E68" s="58"/>
      <c r="F68" s="58"/>
      <c r="G68" s="58"/>
      <c r="H68" s="58"/>
      <c r="I68" s="58"/>
      <c r="J68" s="58"/>
      <c r="K68" s="58"/>
      <c r="L68" s="58"/>
      <c r="M68" s="58"/>
      <c r="N68" s="58"/>
      <c r="O68" s="58"/>
      <c r="P68" s="56"/>
      <c r="Q68" s="58"/>
      <c r="R68" s="56"/>
      <c r="S68" s="56"/>
      <c r="T68" s="56"/>
      <c r="U68" s="60"/>
      <c r="V68" s="56"/>
      <c r="W68" s="56"/>
      <c r="X68" s="56"/>
      <c r="Z68" s="297"/>
    </row>
    <row r="69" spans="2:26">
      <c r="B69" s="443" t="str">
        <f>IF(Contents!$B$2=2,"OHS training","Обучение по охране труда")</f>
        <v>Обучение по охране труда</v>
      </c>
      <c r="C69" s="456"/>
      <c r="D69" s="457"/>
      <c r="E69" s="457"/>
      <c r="F69" s="457"/>
      <c r="G69" s="457"/>
      <c r="H69" s="457"/>
      <c r="I69" s="458"/>
      <c r="J69" s="459"/>
      <c r="K69" s="459"/>
      <c r="L69" s="459"/>
      <c r="M69" s="459"/>
      <c r="N69" s="296"/>
      <c r="O69" s="59"/>
      <c r="P69" s="56"/>
      <c r="Q69" s="59"/>
      <c r="R69" s="56"/>
      <c r="S69" s="56"/>
      <c r="T69" s="56"/>
      <c r="U69" s="60"/>
      <c r="V69" s="56"/>
      <c r="W69" s="56"/>
      <c r="X69" s="56"/>
      <c r="Z69" s="297"/>
    </row>
    <row r="70" spans="2:26" ht="25.5">
      <c r="B70" s="445" t="str">
        <f>IF(Contents!$B$2=2,"Number of employees who completed OHS training","Количество работников, прошедших обучение по охране труда")</f>
        <v>Количество работников, прошедших обучение по охране труда</v>
      </c>
      <c r="C70" s="77" t="str">
        <f>IF(Contents!$B$2=2,"people"," человек")</f>
        <v xml:space="preserve"> человек</v>
      </c>
      <c r="D70" s="446" t="s">
        <v>185</v>
      </c>
      <c r="E70" s="446" t="s">
        <v>185</v>
      </c>
      <c r="F70" s="446" t="s">
        <v>185</v>
      </c>
      <c r="G70" s="446" t="s">
        <v>185</v>
      </c>
      <c r="H70" s="446" t="s">
        <v>185</v>
      </c>
      <c r="I70" s="446">
        <v>24391</v>
      </c>
      <c r="J70" s="446">
        <v>25881</v>
      </c>
      <c r="K70" s="446">
        <v>27501</v>
      </c>
      <c r="L70" s="446" t="s">
        <v>185</v>
      </c>
      <c r="M70" s="446" t="s">
        <v>185</v>
      </c>
      <c r="N70" s="446" t="s">
        <v>185</v>
      </c>
      <c r="O70" s="58"/>
      <c r="P70" s="598"/>
      <c r="Q70" s="58"/>
      <c r="R70" s="56"/>
      <c r="S70" s="56"/>
      <c r="T70" s="56"/>
      <c r="U70" s="60"/>
      <c r="V70" s="56"/>
      <c r="W70" s="598">
        <v>1</v>
      </c>
      <c r="X70" s="56"/>
      <c r="Z70" s="297" t="s">
        <v>175</v>
      </c>
    </row>
    <row r="71" spans="2:26" ht="25.5">
      <c r="B71" s="455" t="str">
        <f>IF(Contents!$B$2=2,"OHS training","Обучение по охране труда")</f>
        <v>Обучение по охране труда</v>
      </c>
      <c r="C71" s="103" t="str">
        <f>IF(Contents!$B$2=2,"people"," человек")</f>
        <v xml:space="preserve"> человек</v>
      </c>
      <c r="D71" s="74">
        <v>4324</v>
      </c>
      <c r="E71" s="74">
        <v>6852</v>
      </c>
      <c r="F71" s="74">
        <v>7327</v>
      </c>
      <c r="G71" s="74">
        <v>8153</v>
      </c>
      <c r="H71" s="74">
        <v>10256</v>
      </c>
      <c r="I71" s="74">
        <v>11518</v>
      </c>
      <c r="J71" s="74">
        <v>12142</v>
      </c>
      <c r="K71" s="74">
        <v>12475</v>
      </c>
      <c r="L71" s="74" t="s">
        <v>185</v>
      </c>
      <c r="M71" s="74" t="s">
        <v>185</v>
      </c>
      <c r="N71" s="784" t="s">
        <v>185</v>
      </c>
      <c r="P71" s="598"/>
      <c r="Q71" s="58"/>
      <c r="R71" s="277"/>
      <c r="S71" s="277"/>
      <c r="T71" s="277"/>
      <c r="U71" s="278"/>
      <c r="V71" s="56"/>
      <c r="W71" s="598">
        <v>1</v>
      </c>
      <c r="X71" s="56"/>
      <c r="Z71" s="297" t="s">
        <v>176</v>
      </c>
    </row>
    <row r="72" spans="2:26" ht="25.5">
      <c r="B72" s="455" t="str">
        <f>IF(Contents!$B$2=2,"First aid training","Оказание первой помощи при несчастных случаях")</f>
        <v>Оказание первой помощи при несчастных случаях</v>
      </c>
      <c r="C72" s="103" t="str">
        <f>IF(Contents!$B$2=2,"people"," человек")</f>
        <v xml:space="preserve"> человек</v>
      </c>
      <c r="D72" s="74" t="s">
        <v>185</v>
      </c>
      <c r="E72" s="74" t="s">
        <v>185</v>
      </c>
      <c r="F72" s="74">
        <v>6006</v>
      </c>
      <c r="G72" s="74">
        <v>7757</v>
      </c>
      <c r="H72" s="74">
        <v>10134</v>
      </c>
      <c r="I72" s="74">
        <v>10394</v>
      </c>
      <c r="J72" s="74">
        <v>2837</v>
      </c>
      <c r="K72" s="74">
        <v>11783</v>
      </c>
      <c r="L72" s="74" t="s">
        <v>185</v>
      </c>
      <c r="M72" s="74" t="s">
        <v>185</v>
      </c>
      <c r="N72" s="784" t="s">
        <v>185</v>
      </c>
      <c r="P72" s="598"/>
      <c r="Q72" s="58"/>
      <c r="R72" s="613"/>
      <c r="S72" s="277"/>
      <c r="T72" s="277"/>
      <c r="U72" s="278"/>
      <c r="V72" s="56"/>
      <c r="W72" s="598">
        <v>1</v>
      </c>
      <c r="X72" s="56"/>
      <c r="Z72" s="297" t="s">
        <v>177</v>
      </c>
    </row>
    <row r="73" spans="2:26" ht="25.5">
      <c r="B73" s="455" t="str">
        <f>IF(Contents!$B$2=2,"OHS training and certification","Обучение и сертификация по охране труда")</f>
        <v>Обучение и сертификация по охране труда</v>
      </c>
      <c r="C73" s="103" t="str">
        <f>IF(Contents!$B$2=2,"people"," человек")</f>
        <v xml:space="preserve"> человек</v>
      </c>
      <c r="D73" s="74" t="s">
        <v>185</v>
      </c>
      <c r="E73" s="74">
        <v>3018</v>
      </c>
      <c r="F73" s="74">
        <v>3189</v>
      </c>
      <c r="G73" s="74">
        <v>2966</v>
      </c>
      <c r="H73" s="74">
        <v>2544</v>
      </c>
      <c r="I73" s="74">
        <v>2479</v>
      </c>
      <c r="J73" s="74">
        <v>10902</v>
      </c>
      <c r="K73" s="74">
        <v>3243</v>
      </c>
      <c r="L73" s="74" t="s">
        <v>185</v>
      </c>
      <c r="M73" s="74" t="s">
        <v>185</v>
      </c>
      <c r="N73" s="784" t="s">
        <v>185</v>
      </c>
      <c r="P73" s="598"/>
      <c r="Q73" s="58"/>
      <c r="R73" s="613"/>
      <c r="S73" s="277"/>
      <c r="T73" s="277"/>
      <c r="U73" s="278"/>
      <c r="V73" s="56"/>
      <c r="W73" s="598">
        <v>1</v>
      </c>
      <c r="X73" s="56"/>
      <c r="Z73" s="297" t="s">
        <v>178</v>
      </c>
    </row>
    <row r="74" spans="2:26" ht="36">
      <c r="B74" s="453" t="str">
        <f>IF(Contents!$B$2=2,"OHS and first aid training programs completed by employees","Количество программ обучения, пройденных работниками, в области ОТ и ПБ и оказания первой помощи")</f>
        <v>Количество программ обучения, пройденных работниками, в области ОТ и ПБ и оказания первой помощи</v>
      </c>
      <c r="C74" s="518" t="str">
        <f>IF(Contents!$B$2=2,"unit"," единиц")</f>
        <v xml:space="preserve"> единиц</v>
      </c>
      <c r="D74" s="446" t="s">
        <v>185</v>
      </c>
      <c r="E74" s="446" t="s">
        <v>185</v>
      </c>
      <c r="F74" s="446" t="s">
        <v>185</v>
      </c>
      <c r="G74" s="446" t="s">
        <v>185</v>
      </c>
      <c r="H74" s="446" t="s">
        <v>185</v>
      </c>
      <c r="I74" s="446" t="s">
        <v>185</v>
      </c>
      <c r="J74" s="446" t="s">
        <v>185</v>
      </c>
      <c r="K74" s="446" t="s">
        <v>185</v>
      </c>
      <c r="L74" s="446">
        <v>58731</v>
      </c>
      <c r="M74" s="446">
        <v>17788</v>
      </c>
      <c r="N74" s="666">
        <v>15921</v>
      </c>
      <c r="O74" s="58"/>
      <c r="P74" s="598" t="str">
        <f>IF(Contents!$B$2=2,"Yes","Да")</f>
        <v>Да</v>
      </c>
      <c r="Q74" s="58"/>
      <c r="R74" s="56"/>
      <c r="S74" s="56"/>
      <c r="T74" s="56"/>
      <c r="U74" s="60"/>
      <c r="V74" s="56"/>
      <c r="W74" s="598">
        <v>1</v>
      </c>
      <c r="X74" s="56"/>
      <c r="Z74" s="297" t="s">
        <v>178</v>
      </c>
    </row>
    <row r="75" spans="2:26" ht="25.5">
      <c r="B75" s="455" t="str">
        <f>IF(Contents!$B$2=2,"OHS training","Обучение по охране труда")</f>
        <v>Обучение по охране труда</v>
      </c>
      <c r="C75" s="12" t="str">
        <f>IF(Contents!$B$2=2,"unit"," единиц")</f>
        <v xml:space="preserve"> единиц</v>
      </c>
      <c r="D75" s="74" t="s">
        <v>185</v>
      </c>
      <c r="E75" s="74" t="s">
        <v>185</v>
      </c>
      <c r="F75" s="74" t="s">
        <v>185</v>
      </c>
      <c r="G75" s="74" t="s">
        <v>185</v>
      </c>
      <c r="H75" s="74" t="s">
        <v>185</v>
      </c>
      <c r="I75" s="74" t="s">
        <v>185</v>
      </c>
      <c r="J75" s="74" t="s">
        <v>185</v>
      </c>
      <c r="K75" s="74" t="s">
        <v>185</v>
      </c>
      <c r="L75" s="74">
        <v>46761</v>
      </c>
      <c r="M75" s="74">
        <v>9816</v>
      </c>
      <c r="N75" s="98">
        <v>8171</v>
      </c>
      <c r="P75" s="598" t="str">
        <f>IF(Contents!$B$2=2,"Yes","Да")</f>
        <v>Да</v>
      </c>
      <c r="Q75" s="58"/>
      <c r="R75" s="277"/>
      <c r="S75" s="277"/>
      <c r="T75" s="277"/>
      <c r="U75" s="278"/>
      <c r="V75" s="56"/>
      <c r="W75" s="598">
        <v>1</v>
      </c>
      <c r="X75" s="56"/>
      <c r="Z75" s="297" t="s">
        <v>178</v>
      </c>
    </row>
    <row r="76" spans="2:26" ht="25.5">
      <c r="B76" s="455" t="str">
        <f>IF(Contents!$B$2=2,"First aid training","Оказание первой помощи при несчастных случаях")</f>
        <v>Оказание первой помощи при несчастных случаях</v>
      </c>
      <c r="C76" s="12" t="str">
        <f>IF(Contents!$B$2=2,"unit"," единиц")</f>
        <v xml:space="preserve"> единиц</v>
      </c>
      <c r="D76" s="74" t="s">
        <v>185</v>
      </c>
      <c r="E76" s="74" t="s">
        <v>185</v>
      </c>
      <c r="F76" s="74" t="s">
        <v>185</v>
      </c>
      <c r="G76" s="74" t="s">
        <v>185</v>
      </c>
      <c r="H76" s="74" t="s">
        <v>185</v>
      </c>
      <c r="I76" s="74" t="s">
        <v>185</v>
      </c>
      <c r="J76" s="74" t="s">
        <v>185</v>
      </c>
      <c r="K76" s="74" t="s">
        <v>185</v>
      </c>
      <c r="L76" s="74">
        <v>9663</v>
      </c>
      <c r="M76" s="74">
        <v>4365</v>
      </c>
      <c r="N76" s="98">
        <v>5612</v>
      </c>
      <c r="P76" s="598" t="str">
        <f>IF(Contents!$B$2=2,"Yes","Да")</f>
        <v>Да</v>
      </c>
      <c r="Q76" s="58"/>
      <c r="R76" s="613"/>
      <c r="S76" s="277"/>
      <c r="T76" s="277"/>
      <c r="U76" s="278"/>
      <c r="V76" s="56"/>
      <c r="W76" s="598">
        <v>1</v>
      </c>
      <c r="X76" s="56"/>
      <c r="Z76" s="297" t="s">
        <v>178</v>
      </c>
    </row>
    <row r="77" spans="2:26" ht="25.5">
      <c r="B77" s="455" t="str">
        <f>IF(Contents!$B$2=2,"Industrial safety training and certification","Обучение и аттестация по промышленной безопасности")</f>
        <v>Обучение и аттестация по промышленной безопасности</v>
      </c>
      <c r="C77" s="12" t="str">
        <f>IF(Contents!$B$2=2,"unit"," единиц")</f>
        <v xml:space="preserve"> единиц</v>
      </c>
      <c r="D77" s="74" t="s">
        <v>185</v>
      </c>
      <c r="E77" s="74" t="s">
        <v>185</v>
      </c>
      <c r="F77" s="74" t="s">
        <v>185</v>
      </c>
      <c r="G77" s="74" t="s">
        <v>185</v>
      </c>
      <c r="H77" s="74" t="s">
        <v>185</v>
      </c>
      <c r="I77" s="74" t="s">
        <v>185</v>
      </c>
      <c r="J77" s="74" t="s">
        <v>185</v>
      </c>
      <c r="K77" s="74" t="s">
        <v>185</v>
      </c>
      <c r="L77" s="74">
        <v>2307</v>
      </c>
      <c r="M77" s="74">
        <v>3607</v>
      </c>
      <c r="N77" s="98">
        <v>2138</v>
      </c>
      <c r="P77" s="598" t="str">
        <f>IF(Contents!$B$2=2,"Yes","Да")</f>
        <v>Да</v>
      </c>
      <c r="Q77" s="58"/>
      <c r="R77" s="613"/>
      <c r="S77" s="277"/>
      <c r="T77" s="277"/>
      <c r="U77" s="278"/>
      <c r="V77" s="56"/>
      <c r="W77" s="598">
        <v>1</v>
      </c>
      <c r="X77" s="56"/>
      <c r="Z77" s="297" t="s">
        <v>178</v>
      </c>
    </row>
    <row r="78" spans="2:26">
      <c r="B78" s="440"/>
      <c r="C78" s="103"/>
      <c r="D78" s="147"/>
      <c r="E78" s="74"/>
      <c r="F78" s="74"/>
      <c r="G78" s="74"/>
      <c r="H78" s="74"/>
      <c r="I78" s="101"/>
      <c r="J78" s="101"/>
      <c r="K78" s="101"/>
      <c r="L78" s="101"/>
      <c r="M78" s="101"/>
      <c r="N78" s="511"/>
      <c r="P78" s="598"/>
      <c r="Q78" s="58"/>
      <c r="R78" s="613"/>
      <c r="S78" s="277"/>
      <c r="T78" s="277"/>
      <c r="U78" s="278"/>
      <c r="V78" s="56"/>
      <c r="W78" s="56"/>
      <c r="X78" s="56"/>
      <c r="Z78" s="346"/>
    </row>
    <row r="79" spans="2:26">
      <c r="B79" s="75" t="str">
        <f>IF(Contents!$B$2=2,"Expenses on labor protection and industrial safety, fire safety and security of facilities","Расходы на охрану труда и промышленную безопасность, пожарную безопасность и охрану объектов")</f>
        <v>Расходы на охрану труда и промышленную безопасность, пожарную безопасность и охрану объектов</v>
      </c>
      <c r="C79" s="456"/>
      <c r="D79" s="517"/>
      <c r="E79" s="517"/>
      <c r="F79" s="517"/>
      <c r="G79" s="517"/>
      <c r="H79" s="517"/>
      <c r="I79" s="517"/>
      <c r="J79" s="517"/>
      <c r="K79" s="517"/>
      <c r="L79" s="517"/>
      <c r="M79" s="517"/>
      <c r="N79" s="296"/>
      <c r="O79" s="59"/>
      <c r="P79" s="56"/>
      <c r="Q79" s="58"/>
      <c r="R79" s="56"/>
      <c r="S79" s="56"/>
      <c r="T79" s="56"/>
      <c r="U79" s="60"/>
      <c r="V79" s="56"/>
      <c r="W79" s="56"/>
      <c r="X79" s="56"/>
      <c r="Z79" s="297"/>
    </row>
    <row r="80" spans="2:26" ht="50.25" customHeight="1">
      <c r="B80" s="455" t="str">
        <f>IF(Contents!$B$2=2,"Expenses on labor protection and industrial safety, fire safety and security of facilities","Расходы на охрану труда и промышленную безопасность, пожарную безопасность и охрану объектов")</f>
        <v>Расходы на охрану труда и промышленную безопасность, пожарную безопасность и охрану объектов</v>
      </c>
      <c r="C80" s="12" t="str">
        <f>IF(Contents!$B$2=2,"RR bln","млрд руб.")</f>
        <v>млрд руб.</v>
      </c>
      <c r="D80" s="72" t="s">
        <v>185</v>
      </c>
      <c r="E80" s="72" t="s">
        <v>185</v>
      </c>
      <c r="F80" s="72">
        <v>1.1679999999999999</v>
      </c>
      <c r="G80" s="72">
        <v>1.4470000000000001</v>
      </c>
      <c r="H80" s="72">
        <v>1.651</v>
      </c>
      <c r="I80" s="72">
        <v>3.4</v>
      </c>
      <c r="J80" s="460">
        <v>3.7</v>
      </c>
      <c r="K80" s="460">
        <v>3.6</v>
      </c>
      <c r="L80" s="460">
        <v>5</v>
      </c>
      <c r="M80" s="460">
        <v>6.6</v>
      </c>
      <c r="N80" s="794">
        <v>7.2</v>
      </c>
      <c r="P80" s="598"/>
      <c r="Q80" s="58"/>
      <c r="R80" s="615"/>
      <c r="S80" s="277"/>
      <c r="T80" s="277"/>
      <c r="U80" s="273" t="str">
        <f>IF(Contents!$B$2=2,"PBCS 27","СОКБ 27")</f>
        <v>СОКБ 27</v>
      </c>
      <c r="V80" s="56"/>
      <c r="W80" s="56">
        <v>3</v>
      </c>
      <c r="X80" s="56"/>
      <c r="Z80" s="346" t="s">
        <v>179</v>
      </c>
    </row>
    <row r="81" spans="2:27" ht="33.75" customHeight="1">
      <c r="B81" s="861"/>
      <c r="C81" s="12"/>
      <c r="D81" s="72"/>
      <c r="E81" s="72"/>
      <c r="F81" s="72"/>
      <c r="G81" s="72"/>
      <c r="H81" s="72"/>
      <c r="I81" s="72"/>
      <c r="J81" s="72"/>
      <c r="K81" s="460"/>
      <c r="L81" s="460"/>
      <c r="M81" s="460"/>
      <c r="N81" s="685"/>
      <c r="P81" s="598"/>
      <c r="R81" s="615"/>
      <c r="S81" s="277"/>
      <c r="T81" s="277"/>
      <c r="U81" s="273"/>
      <c r="V81" s="56"/>
      <c r="W81" s="56"/>
      <c r="X81" s="56"/>
      <c r="Z81" s="346"/>
    </row>
    <row r="82" spans="2:27">
      <c r="B82" s="461"/>
      <c r="C82" s="351"/>
      <c r="D82" s="352"/>
      <c r="E82" s="352"/>
      <c r="F82" s="352"/>
      <c r="G82" s="352"/>
      <c r="H82" s="352"/>
      <c r="I82" s="353"/>
      <c r="J82" s="352"/>
      <c r="K82" s="352"/>
      <c r="L82" s="352"/>
      <c r="M82" s="352"/>
      <c r="N82" s="352"/>
      <c r="O82" s="352"/>
      <c r="P82" s="627"/>
      <c r="Q82" s="352"/>
      <c r="R82" s="627"/>
      <c r="S82" s="627"/>
      <c r="T82" s="627"/>
      <c r="U82" s="628"/>
      <c r="V82" s="627"/>
      <c r="W82" s="627"/>
      <c r="X82" s="627"/>
      <c r="Y82" s="627"/>
      <c r="Z82" s="642"/>
      <c r="AA82" s="627"/>
    </row>
    <row r="83" spans="2:27">
      <c r="B83" s="462"/>
      <c r="P83" s="598"/>
      <c r="V83" s="56"/>
      <c r="W83" s="56"/>
      <c r="X83" s="56"/>
      <c r="Z83" s="346"/>
    </row>
    <row r="84" spans="2:27" ht="32.1" customHeight="1">
      <c r="B84" s="141" t="str">
        <f>IF(Contents!$B$2=2,"For more information, see the Sustainable Development Reports for 2020-2025 (the Safety chapter).","Для получения дополнительной информации см. Отчеты об устойчивом развитии за 2020-2025 гг. (глава «Безопасность»).")</f>
        <v>Для получения дополнительной информации см. Отчеты об устойчивом развитии за 2020-2025 гг. (глава «Безопасность»).</v>
      </c>
      <c r="M84" s="460"/>
      <c r="P84" s="598"/>
      <c r="V84" s="56"/>
      <c r="W84" s="56"/>
      <c r="X84" s="56"/>
      <c r="Z84" s="346"/>
    </row>
    <row r="85" spans="2:27">
      <c r="B85" s="463"/>
      <c r="M85" s="460"/>
      <c r="P85" s="598"/>
      <c r="V85" s="56"/>
      <c r="W85" s="56"/>
      <c r="X85" s="56"/>
      <c r="Z85" s="346"/>
    </row>
    <row r="86" spans="2:27">
      <c r="V86" s="56"/>
      <c r="W86" s="56"/>
      <c r="X86" s="56"/>
    </row>
    <row r="87" spans="2:27">
      <c r="V87" s="56"/>
      <c r="W87" s="56"/>
      <c r="X87" s="56"/>
    </row>
    <row r="88" spans="2:27">
      <c r="V88" s="56"/>
      <c r="W88" s="56"/>
      <c r="X88" s="56"/>
    </row>
    <row r="89" spans="2:27">
      <c r="V89" s="56"/>
      <c r="W89" s="56"/>
      <c r="X89" s="56"/>
    </row>
    <row r="90" spans="2:27">
      <c r="V90" s="56"/>
      <c r="W90" s="56"/>
      <c r="X90" s="56"/>
    </row>
    <row r="91" spans="2:27">
      <c r="V91" s="56"/>
      <c r="W91" s="56"/>
      <c r="X91" s="56"/>
    </row>
    <row r="92" spans="2:27">
      <c r="V92" s="56"/>
      <c r="W92" s="56"/>
      <c r="X92" s="56"/>
    </row>
    <row r="93" spans="2:27">
      <c r="V93" s="56"/>
      <c r="W93" s="56"/>
      <c r="X93" s="56"/>
    </row>
    <row r="94" spans="2:27">
      <c r="V94" s="56"/>
      <c r="W94" s="56"/>
      <c r="X94" s="56"/>
    </row>
    <row r="95" spans="2:27">
      <c r="V95" s="56"/>
      <c r="W95" s="56"/>
      <c r="X95" s="56"/>
    </row>
    <row r="96" spans="2:27">
      <c r="V96" s="56"/>
      <c r="W96" s="56"/>
      <c r="X96" s="56"/>
    </row>
    <row r="97" spans="22:24">
      <c r="V97" s="56"/>
      <c r="W97" s="56"/>
      <c r="X97" s="56"/>
    </row>
    <row r="98" spans="22:24">
      <c r="V98" s="56"/>
      <c r="W98" s="56"/>
      <c r="X98" s="56"/>
    </row>
    <row r="99" spans="22:24">
      <c r="V99" s="56"/>
      <c r="W99" s="56"/>
      <c r="X99" s="56"/>
    </row>
    <row r="100" spans="22:24">
      <c r="V100" s="56"/>
      <c r="W100" s="56"/>
      <c r="X100" s="56"/>
    </row>
    <row r="101" spans="22:24">
      <c r="V101" s="56"/>
      <c r="W101" s="56"/>
      <c r="X101" s="56"/>
    </row>
    <row r="102" spans="22:24">
      <c r="V102" s="56"/>
      <c r="W102" s="56"/>
      <c r="X102" s="56"/>
    </row>
    <row r="103" spans="22:24">
      <c r="V103" s="56"/>
      <c r="W103" s="56"/>
      <c r="X103" s="56"/>
    </row>
    <row r="104" spans="22:24">
      <c r="V104" s="56"/>
      <c r="W104" s="56"/>
      <c r="X104" s="56"/>
    </row>
    <row r="105" spans="22:24">
      <c r="V105" s="56"/>
      <c r="W105" s="56"/>
      <c r="X105" s="56"/>
    </row>
    <row r="106" spans="22:24">
      <c r="V106" s="56"/>
      <c r="W106" s="56"/>
      <c r="X106" s="56"/>
    </row>
    <row r="107" spans="22:24">
      <c r="V107" s="56"/>
      <c r="W107" s="56"/>
      <c r="X107" s="56"/>
    </row>
    <row r="108" spans="22:24">
      <c r="V108" s="56"/>
      <c r="W108" s="56"/>
      <c r="X108" s="56"/>
    </row>
    <row r="109" spans="22:24">
      <c r="W109" s="56"/>
    </row>
    <row r="110" spans="22:24">
      <c r="W110" s="56"/>
    </row>
  </sheetData>
  <hyperlinks>
    <hyperlink ref="B3" location="'Occupational health and safety'!B8" display="'Occupational health and safety'!B8"/>
    <hyperlink ref="B84" r:id="rId1" display="https://www.novatek.ru/en/development/archive/"/>
    <hyperlink ref="B1" location="Contents!A1" display="← Back to Contents"/>
  </hyperlinks>
  <pageMargins left="0.7" right="0.7" top="0.75" bottom="0.75" header="0.3" footer="0.3"/>
  <pageSetup paperSize="9" orientation="portrait" r:id="rId2"/>
  <ignoredErrors>
    <ignoredError sqref="B70" formula="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Y71"/>
  <sheetViews>
    <sheetView zoomScale="50" zoomScaleNormal="50" workbookViewId="0">
      <pane xSplit="1" ySplit="7" topLeftCell="B8" activePane="bottomRight" state="frozen"/>
      <selection pane="topRight" activeCell="B1" sqref="B1"/>
      <selection pane="bottomLeft" activeCell="A8" sqref="A8"/>
      <selection pane="bottomRight" activeCell="C7" sqref="C7"/>
    </sheetView>
  </sheetViews>
  <sheetFormatPr defaultColWidth="8.85546875" defaultRowHeight="18.75"/>
  <cols>
    <col min="1" max="1" width="10.42578125" style="43"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22.85546875" style="253" customWidth="1"/>
    <col min="16" max="16" width="15.42578125" style="606" customWidth="1"/>
    <col min="17" max="17" width="14.140625" style="253" customWidth="1"/>
    <col min="18" max="20" width="20.42578125" style="606" customWidth="1"/>
    <col min="21" max="21" width="20.42578125" style="607" customWidth="1"/>
    <col min="22" max="22" width="5.42578125" style="606" customWidth="1"/>
    <col min="23" max="23" width="15.42578125" style="606" customWidth="1"/>
    <col min="24" max="25" width="5.42578125" style="606" customWidth="1"/>
    <col min="26" max="16384" width="8.85546875" style="1"/>
  </cols>
  <sheetData>
    <row r="1" spans="1:25" ht="80.25" customHeight="1">
      <c r="B1" s="487" t="s">
        <v>168</v>
      </c>
      <c r="G1" s="254"/>
    </row>
    <row r="2" spans="1:25">
      <c r="B2" s="151" t="str">
        <f>IF(Contents!$B$2=2,"CONTENTS","СОДЕРЖАНИЕ")</f>
        <v>СОДЕРЖАНИЕ</v>
      </c>
      <c r="C2" s="711"/>
      <c r="D2" s="711"/>
      <c r="E2" s="711"/>
      <c r="F2" s="711"/>
      <c r="G2" s="711"/>
      <c r="H2" s="711"/>
      <c r="I2" s="711"/>
      <c r="J2" s="711"/>
      <c r="K2" s="711"/>
      <c r="L2" s="711"/>
      <c r="M2" s="711"/>
      <c r="N2" s="711"/>
      <c r="U2" s="606"/>
    </row>
    <row r="3" spans="1:25">
      <c r="B3" s="575" t="str">
        <f>IF(Contents!$B$2=2, "External social expenses", "Внешние социальные расходы")</f>
        <v>Внешние социальные расходы</v>
      </c>
      <c r="C3" s="575" t="str">
        <f>IF(Contents!$B$2=2, "Volunteering", "Волонтерство")</f>
        <v>Волонтерство</v>
      </c>
      <c r="D3" s="575"/>
      <c r="E3" s="575" t="str">
        <f>IF(Contents!$B$2=2, "Co-operation with indigenous minorities of the North", "Взаимодействие с коренными малочисленными народами севера (КМНС)")</f>
        <v>Взаимодействие с коренными малочисленными народами севера (КМНС)</v>
      </c>
      <c r="F3" s="575"/>
      <c r="G3" s="575"/>
      <c r="H3" s="575"/>
      <c r="I3" s="575"/>
      <c r="J3" s="575"/>
      <c r="K3" s="575"/>
      <c r="L3" s="575"/>
      <c r="M3" s="575"/>
      <c r="N3" s="575"/>
      <c r="U3" s="606"/>
    </row>
    <row r="4" spans="1:25">
      <c r="B4" s="575"/>
      <c r="C4" s="575"/>
      <c r="D4" s="575"/>
      <c r="E4" s="575"/>
      <c r="F4" s="575"/>
      <c r="G4" s="575"/>
      <c r="H4" s="575"/>
      <c r="I4" s="710"/>
      <c r="J4" s="710"/>
      <c r="K4" s="710"/>
      <c r="L4" s="710"/>
      <c r="M4" s="710"/>
      <c r="N4" s="710"/>
      <c r="U4" s="606"/>
    </row>
    <row r="5" spans="1:25">
      <c r="B5" s="483"/>
      <c r="C5" s="709"/>
      <c r="D5" s="483"/>
      <c r="E5" s="708"/>
      <c r="F5" s="708"/>
      <c r="G5" s="708"/>
      <c r="H5" s="483"/>
      <c r="I5" s="483"/>
      <c r="J5" s="707"/>
      <c r="K5" s="707"/>
      <c r="L5" s="707"/>
      <c r="M5" s="707"/>
      <c r="N5" s="707"/>
      <c r="U5" s="606"/>
    </row>
    <row r="6" spans="1:25" ht="30">
      <c r="A6" s="699"/>
      <c r="B6" s="464" t="str">
        <f>IF(Contents!$B$2=2,"Local communities","Местные сообщества")</f>
        <v>Местные сообщества</v>
      </c>
      <c r="C6" s="706"/>
      <c r="D6" s="706"/>
      <c r="E6" s="705"/>
      <c r="F6" s="704"/>
      <c r="G6" s="704"/>
      <c r="H6" s="704"/>
      <c r="I6" s="703"/>
      <c r="J6" s="702"/>
      <c r="K6" s="702"/>
      <c r="L6" s="702"/>
      <c r="M6" s="702"/>
      <c r="N6" s="702"/>
      <c r="P6" s="700"/>
      <c r="R6" s="700"/>
      <c r="S6" s="700"/>
      <c r="T6" s="700"/>
      <c r="U6" s="701"/>
      <c r="V6" s="56"/>
      <c r="W6" s="700"/>
      <c r="X6" s="56"/>
    </row>
    <row r="7" spans="1:25" ht="54.95" customHeight="1">
      <c r="A7" s="699"/>
      <c r="B7" s="268"/>
      <c r="C7" s="269"/>
      <c r="D7" s="270">
        <v>2015</v>
      </c>
      <c r="E7" s="270">
        <v>2016</v>
      </c>
      <c r="F7" s="270">
        <v>2017</v>
      </c>
      <c r="G7" s="271">
        <v>2018</v>
      </c>
      <c r="H7" s="271">
        <v>2019</v>
      </c>
      <c r="I7" s="271">
        <v>2020</v>
      </c>
      <c r="J7" s="270">
        <v>2021</v>
      </c>
      <c r="K7" s="270">
        <v>2022</v>
      </c>
      <c r="L7" s="270">
        <v>2023</v>
      </c>
      <c r="M7" s="270">
        <v>2024</v>
      </c>
      <c r="N7" s="270">
        <v>2025</v>
      </c>
      <c r="P7" s="586" t="str">
        <f>IF(Contents!$B$2=2,"Subject to external assurance in 2025","Внешний аудит в 2025 г.")</f>
        <v>Внешний аудит в 2025 г.</v>
      </c>
      <c r="Q7" s="930"/>
      <c r="R7" s="602" t="str">
        <f>IF(Contents!$B$2=2,"GRI Disclosure, including GRI 11: Oil and Gas Sector 2021","Индексы Стандартов GRI, в т.ч. GRI 11: Oil and Gas Sector")</f>
        <v>Индексы Стандартов GRI, в т.ч. GRI 11: Oil and Gas Sector</v>
      </c>
      <c r="S7" s="602" t="str">
        <f>IF(Contents!$B$2=2,"Standards' Code SASB Oil &amp; Gas – Exploration &amp; Production 2023","Индексы Стандартов SASB Oil &amp; Gas – Exploration &amp; Production 2023")</f>
        <v>Индексы Стандартов SASB Oil &amp; Gas – Exploration &amp; Production 2023</v>
      </c>
      <c r="T7" s="602" t="str">
        <f>IF(Contents!$B$2=2,"Standards' indices IPIECA 2020","Индексы Стандартов IPIECA 2020")</f>
        <v>Индексы Стандартов IPIECA 2020</v>
      </c>
      <c r="U7" s="602" t="str">
        <f>IF(Contents!$B$2=2,"Indices of the Public Business Capital Standard","Индексы Стандарта общественного капитала бизнеса")</f>
        <v>Индексы Стандарта общественного капитала бизнеса</v>
      </c>
      <c r="V7" s="504"/>
      <c r="W7" s="586" t="str">
        <f>IF(Contents!$B$2=2,"Report scope","Границы отчетности")</f>
        <v>Границы отчетности</v>
      </c>
      <c r="X7" s="504"/>
      <c r="Y7" s="504"/>
    </row>
    <row r="8" spans="1:25" ht="51">
      <c r="A8" s="692"/>
      <c r="B8" s="691" t="str">
        <f>IF(Contents!$B$2=2, "External social expenses", "Внешние социальные расходы")</f>
        <v>Внешние социальные расходы</v>
      </c>
      <c r="C8" s="691" t="str">
        <f>IF(Contents!$B$2=2,"RR bln","млрд руб.")</f>
        <v>млрд руб.</v>
      </c>
      <c r="D8" s="698">
        <v>1</v>
      </c>
      <c r="E8" s="690">
        <v>1.9</v>
      </c>
      <c r="F8" s="690">
        <v>2.8</v>
      </c>
      <c r="G8" s="690">
        <v>0.7</v>
      </c>
      <c r="H8" s="698">
        <v>2</v>
      </c>
      <c r="I8" s="690">
        <v>4.0999999999999996</v>
      </c>
      <c r="J8" s="690">
        <v>2.8</v>
      </c>
      <c r="K8" s="690">
        <v>3.3</v>
      </c>
      <c r="L8" s="698">
        <v>6</v>
      </c>
      <c r="M8" s="698">
        <v>7.5</v>
      </c>
      <c r="N8" s="698">
        <v>6.4</v>
      </c>
      <c r="P8" s="56" t="str">
        <f>IF(Contents!$B$2=2,"Yes","Да")</f>
        <v>Да</v>
      </c>
      <c r="Q8" s="511"/>
      <c r="R8" s="297" t="s">
        <v>158</v>
      </c>
      <c r="S8" s="56"/>
      <c r="T8" s="56" t="s">
        <v>159</v>
      </c>
      <c r="U8" s="60"/>
      <c r="V8" s="56"/>
      <c r="W8" s="56">
        <v>2</v>
      </c>
      <c r="X8" s="56"/>
    </row>
    <row r="9" spans="1:25" ht="54">
      <c r="A9" s="842"/>
      <c r="B9" s="695" t="str">
        <f>IF(Contents!$B$2=2, "Expenses on participation in supporting social programs, including charities not targeting employees and their family members", "Расходы на участие в поддержке социальных, в том числе благотворительных программ, не направленных на работников и членов их семей")</f>
        <v>Расходы на участие в поддержке социальных, в том числе благотворительных программ, не направленных на работников и членов их семей</v>
      </c>
      <c r="C9" s="186" t="str">
        <f>IF(Contents!$B$2=2,"RR mln","млн руб.")</f>
        <v>млн руб.</v>
      </c>
      <c r="D9" s="46" t="s">
        <v>185</v>
      </c>
      <c r="E9" s="46" t="s">
        <v>185</v>
      </c>
      <c r="F9" s="46" t="s">
        <v>185</v>
      </c>
      <c r="G9" s="46" t="s">
        <v>185</v>
      </c>
      <c r="H9" s="46" t="s">
        <v>185</v>
      </c>
      <c r="I9" s="46" t="s">
        <v>185</v>
      </c>
      <c r="J9" s="46" t="s">
        <v>185</v>
      </c>
      <c r="K9" s="46" t="s">
        <v>185</v>
      </c>
      <c r="L9" s="58">
        <v>2523</v>
      </c>
      <c r="M9" s="58">
        <v>2227.1999999999998</v>
      </c>
      <c r="N9" s="794">
        <v>2251.6999999999998</v>
      </c>
      <c r="O9" s="874"/>
      <c r="P9" s="56"/>
      <c r="Q9" s="511"/>
      <c r="R9" s="297" t="s">
        <v>158</v>
      </c>
      <c r="S9" s="56"/>
      <c r="T9" s="56" t="s">
        <v>159</v>
      </c>
      <c r="U9" s="273" t="str">
        <f>IF(Contents!$B$2=2,"PBCS 35","СОКБ 35")</f>
        <v>СОКБ 35</v>
      </c>
      <c r="V9" s="56"/>
      <c r="W9" s="56">
        <v>2</v>
      </c>
      <c r="X9" s="56"/>
    </row>
    <row r="10" spans="1:25">
      <c r="A10" s="842"/>
      <c r="B10" s="843" t="str">
        <f>IF(Contents!$B$2=2, "by area", "по сферам")</f>
        <v>по сферам</v>
      </c>
      <c r="C10" s="434"/>
      <c r="D10" s="46"/>
      <c r="E10" s="46"/>
      <c r="F10" s="46"/>
      <c r="G10" s="46"/>
      <c r="H10" s="46"/>
      <c r="I10" s="46"/>
      <c r="J10" s="46"/>
      <c r="K10" s="46"/>
      <c r="L10" s="685"/>
      <c r="M10" s="685"/>
      <c r="N10" s="794"/>
      <c r="P10" s="56"/>
      <c r="Q10" s="511"/>
      <c r="R10" s="297"/>
      <c r="S10" s="56"/>
      <c r="T10" s="56"/>
      <c r="U10" s="60"/>
      <c r="V10" s="56"/>
      <c r="W10" s="56"/>
      <c r="X10" s="56"/>
    </row>
    <row r="11" spans="1:25">
      <c r="A11" s="842"/>
      <c r="B11" s="232" t="str">
        <f>IF(Contents!$B$2=2, "Healthcare", "Здравоохранения")</f>
        <v>Здравоохранения</v>
      </c>
      <c r="C11" s="186" t="str">
        <f>IF(Contents!$B$2=2,"RR mln","млн руб.")</f>
        <v>млн руб.</v>
      </c>
      <c r="D11" s="46" t="s">
        <v>185</v>
      </c>
      <c r="E11" s="46" t="s">
        <v>185</v>
      </c>
      <c r="F11" s="46" t="s">
        <v>185</v>
      </c>
      <c r="G11" s="46" t="s">
        <v>185</v>
      </c>
      <c r="H11" s="46" t="s">
        <v>185</v>
      </c>
      <c r="I11" s="46" t="s">
        <v>185</v>
      </c>
      <c r="J11" s="46" t="s">
        <v>185</v>
      </c>
      <c r="K11" s="46" t="s">
        <v>185</v>
      </c>
      <c r="L11" s="685">
        <v>28.2</v>
      </c>
      <c r="M11" s="685">
        <v>66.8</v>
      </c>
      <c r="N11" s="98">
        <v>337.3</v>
      </c>
      <c r="P11" s="56"/>
      <c r="Q11" s="511"/>
      <c r="R11" s="56"/>
      <c r="S11" s="56"/>
      <c r="T11" s="56"/>
      <c r="U11" s="273" t="str">
        <f>IF(Contents!$B$2=2,"PBCS 76","СОКБ 76")</f>
        <v>СОКБ 76</v>
      </c>
      <c r="V11" s="56"/>
      <c r="W11" s="56">
        <v>2</v>
      </c>
      <c r="X11" s="56"/>
    </row>
    <row r="12" spans="1:25">
      <c r="A12" s="842"/>
      <c r="B12" s="232" t="str">
        <f>IF(Contents!$B$2=2, "Education and science", "Образования и науки")</f>
        <v>Образования и науки</v>
      </c>
      <c r="C12" s="186" t="str">
        <f>IF(Contents!$B$2=2,"RR mln","млн руб.")</f>
        <v>млн руб.</v>
      </c>
      <c r="D12" s="46" t="s">
        <v>185</v>
      </c>
      <c r="E12" s="46" t="s">
        <v>185</v>
      </c>
      <c r="F12" s="46" t="s">
        <v>185</v>
      </c>
      <c r="G12" s="46" t="s">
        <v>185</v>
      </c>
      <c r="H12" s="46" t="s">
        <v>185</v>
      </c>
      <c r="I12" s="46" t="s">
        <v>185</v>
      </c>
      <c r="J12" s="46" t="s">
        <v>185</v>
      </c>
      <c r="K12" s="46" t="s">
        <v>185</v>
      </c>
      <c r="L12" s="685">
        <v>37.5</v>
      </c>
      <c r="M12" s="685">
        <v>52.4</v>
      </c>
      <c r="N12" s="794">
        <v>101.5</v>
      </c>
      <c r="P12" s="56"/>
      <c r="Q12" s="511"/>
      <c r="R12" s="56"/>
      <c r="S12" s="56"/>
      <c r="T12" s="56"/>
      <c r="U12" s="299"/>
      <c r="V12" s="56"/>
      <c r="W12" s="56">
        <v>2</v>
      </c>
      <c r="X12" s="56"/>
    </row>
    <row r="13" spans="1:25">
      <c r="A13" s="842"/>
      <c r="B13" s="232" t="str">
        <f>IF(Contents!$B$2=2, "Sports", "Спорта")</f>
        <v>Спорта</v>
      </c>
      <c r="C13" s="186" t="str">
        <f>IF(Contents!$B$2=2,"RR mln","млн руб.")</f>
        <v>млн руб.</v>
      </c>
      <c r="D13" s="46" t="s">
        <v>185</v>
      </c>
      <c r="E13" s="46" t="s">
        <v>185</v>
      </c>
      <c r="F13" s="46" t="s">
        <v>185</v>
      </c>
      <c r="G13" s="46" t="s">
        <v>185</v>
      </c>
      <c r="H13" s="46" t="s">
        <v>185</v>
      </c>
      <c r="I13" s="46" t="s">
        <v>185</v>
      </c>
      <c r="J13" s="46" t="s">
        <v>185</v>
      </c>
      <c r="K13" s="46" t="s">
        <v>185</v>
      </c>
      <c r="L13" s="685">
        <v>54.2</v>
      </c>
      <c r="M13" s="685">
        <v>73.599999999999994</v>
      </c>
      <c r="N13" s="794">
        <v>99.9</v>
      </c>
      <c r="P13" s="56"/>
      <c r="Q13" s="511"/>
      <c r="R13" s="56"/>
      <c r="S13" s="56"/>
      <c r="T13" s="56"/>
      <c r="U13" s="299"/>
      <c r="V13" s="56"/>
      <c r="W13" s="56">
        <v>2</v>
      </c>
      <c r="X13" s="56"/>
    </row>
    <row r="14" spans="1:25">
      <c r="A14" s="842"/>
      <c r="B14" s="232" t="str">
        <f>IF(Contents!$B$2=2, "Culture and arts", "Культуры и искусства")</f>
        <v>Культуры и искусства</v>
      </c>
      <c r="C14" s="186" t="str">
        <f>IF(Contents!$B$2=2,"RR mln","млн руб.")</f>
        <v>млн руб.</v>
      </c>
      <c r="D14" s="46" t="s">
        <v>185</v>
      </c>
      <c r="E14" s="46" t="s">
        <v>185</v>
      </c>
      <c r="F14" s="46" t="s">
        <v>185</v>
      </c>
      <c r="G14" s="46" t="s">
        <v>185</v>
      </c>
      <c r="H14" s="46" t="s">
        <v>185</v>
      </c>
      <c r="I14" s="46" t="s">
        <v>185</v>
      </c>
      <c r="J14" s="46" t="s">
        <v>185</v>
      </c>
      <c r="K14" s="46" t="s">
        <v>185</v>
      </c>
      <c r="L14" s="685">
        <v>1.2</v>
      </c>
      <c r="M14" s="685">
        <v>234.9</v>
      </c>
      <c r="N14" s="98">
        <v>219.4</v>
      </c>
      <c r="P14" s="56"/>
      <c r="Q14" s="511"/>
      <c r="R14" s="56"/>
      <c r="S14" s="56"/>
      <c r="T14" s="56"/>
      <c r="U14" s="273" t="str">
        <f>IF(Contents!$B$2=2,"PBCS 83","СОКБ 83")</f>
        <v>СОКБ 83</v>
      </c>
      <c r="V14" s="56"/>
      <c r="W14" s="56">
        <v>2</v>
      </c>
      <c r="X14" s="56"/>
    </row>
    <row r="15" spans="1:25">
      <c r="A15" s="842"/>
      <c r="B15" s="232" t="str">
        <f>IF(Contents!$B$2=2, "Improvement and development of a comfortable urban environment", "Благоустройства и развития комфортной городской среды")</f>
        <v>Благоустройства и развития комфортной городской среды</v>
      </c>
      <c r="C15" s="186" t="str">
        <f>IF(Contents!$B$2=2,"RR mln","млн руб.")</f>
        <v>млн руб.</v>
      </c>
      <c r="D15" s="46" t="s">
        <v>185</v>
      </c>
      <c r="E15" s="46" t="s">
        <v>185</v>
      </c>
      <c r="F15" s="46" t="s">
        <v>185</v>
      </c>
      <c r="G15" s="46" t="s">
        <v>185</v>
      </c>
      <c r="H15" s="46" t="s">
        <v>185</v>
      </c>
      <c r="I15" s="46" t="s">
        <v>185</v>
      </c>
      <c r="J15" s="46" t="s">
        <v>185</v>
      </c>
      <c r="K15" s="46" t="s">
        <v>185</v>
      </c>
      <c r="L15" s="685">
        <v>2401.9</v>
      </c>
      <c r="M15" s="685">
        <v>1799.5</v>
      </c>
      <c r="N15" s="794">
        <v>1493.6</v>
      </c>
      <c r="P15" s="56"/>
      <c r="Q15" s="511"/>
      <c r="R15" s="56"/>
      <c r="S15" s="56"/>
      <c r="T15" s="56"/>
      <c r="U15" s="60"/>
      <c r="V15" s="56"/>
      <c r="W15" s="56">
        <v>2</v>
      </c>
      <c r="X15" s="56"/>
    </row>
    <row r="16" spans="1:25">
      <c r="A16" s="842"/>
      <c r="B16" s="695"/>
      <c r="C16" s="447"/>
      <c r="D16" s="46"/>
      <c r="E16" s="46"/>
      <c r="F16" s="46"/>
      <c r="G16" s="46"/>
      <c r="H16" s="46"/>
      <c r="I16" s="46"/>
      <c r="J16" s="46"/>
      <c r="K16" s="46"/>
      <c r="L16" s="46"/>
      <c r="M16" s="46"/>
      <c r="N16" s="46"/>
      <c r="P16" s="56"/>
      <c r="Q16" s="511"/>
      <c r="R16" s="297"/>
      <c r="S16" s="56"/>
      <c r="T16" s="56"/>
      <c r="U16" s="273"/>
      <c r="V16" s="56"/>
      <c r="W16" s="56"/>
      <c r="X16" s="56"/>
    </row>
    <row r="17" spans="1:24" ht="20.100000000000001" customHeight="1">
      <c r="A17" s="842"/>
      <c r="B17" s="844" t="str">
        <f>IF(Contents!$B$2=2, "Volunteering", "Волонтерство")</f>
        <v>Волонтерство</v>
      </c>
      <c r="C17" s="844"/>
      <c r="D17" s="845"/>
      <c r="E17" s="845"/>
      <c r="F17" s="845"/>
      <c r="G17" s="845"/>
      <c r="H17" s="845"/>
      <c r="I17" s="845"/>
      <c r="J17" s="845"/>
      <c r="K17" s="845"/>
      <c r="L17" s="845"/>
      <c r="M17" s="845"/>
      <c r="N17" s="845"/>
      <c r="P17" s="56"/>
      <c r="Q17" s="511"/>
      <c r="U17" s="606"/>
      <c r="W17" s="56"/>
    </row>
    <row r="18" spans="1:24">
      <c r="A18" s="842"/>
      <c r="B18" s="697" t="str">
        <f>IF(Contents!$B$2=2, "Expenses on volunteer activities", "Расходы на добровольческую (волонтерскую) деятельность")</f>
        <v>Расходы на добровольческую (волонтерскую) деятельность</v>
      </c>
      <c r="C18" s="447" t="str">
        <f>IF(Contents!$B$2=2,"RR mln","млн руб.")</f>
        <v>млн руб.</v>
      </c>
      <c r="D18" s="46" t="s">
        <v>185</v>
      </c>
      <c r="E18" s="46" t="s">
        <v>185</v>
      </c>
      <c r="F18" s="46" t="s">
        <v>185</v>
      </c>
      <c r="G18" s="46" t="s">
        <v>185</v>
      </c>
      <c r="H18" s="46" t="s">
        <v>185</v>
      </c>
      <c r="I18" s="46" t="s">
        <v>185</v>
      </c>
      <c r="J18" s="46" t="s">
        <v>185</v>
      </c>
      <c r="K18" s="46" t="s">
        <v>185</v>
      </c>
      <c r="L18" s="696" t="s">
        <v>185</v>
      </c>
      <c r="M18" s="685">
        <v>0.7</v>
      </c>
      <c r="N18" s="794">
        <v>0.8</v>
      </c>
      <c r="P18" s="56"/>
      <c r="Q18" s="511"/>
      <c r="R18" s="297"/>
      <c r="S18" s="56"/>
      <c r="T18" s="56"/>
      <c r="U18" s="273" t="str">
        <f>IF(Contents!$B$2=2,"PBCS 82","СОКБ 82")</f>
        <v>СОКБ 82</v>
      </c>
      <c r="V18" s="56"/>
      <c r="W18" s="56">
        <v>2</v>
      </c>
      <c r="X18" s="56"/>
    </row>
    <row r="19" spans="1:24">
      <c r="A19" s="842"/>
      <c r="B19" s="697" t="str">
        <f>IF(Contents!$B$2=2, "Percentage of employee volunteers", "Доля волонтеров среди работников")</f>
        <v>Доля волонтеров среди работников</v>
      </c>
      <c r="C19" s="447" t="s">
        <v>0</v>
      </c>
      <c r="D19" s="46" t="s">
        <v>185</v>
      </c>
      <c r="E19" s="46" t="s">
        <v>185</v>
      </c>
      <c r="F19" s="46" t="s">
        <v>185</v>
      </c>
      <c r="G19" s="46" t="s">
        <v>185</v>
      </c>
      <c r="H19" s="46" t="s">
        <v>185</v>
      </c>
      <c r="I19" s="46" t="s">
        <v>185</v>
      </c>
      <c r="J19" s="46" t="s">
        <v>185</v>
      </c>
      <c r="K19" s="46" t="s">
        <v>185</v>
      </c>
      <c r="L19" s="696" t="s">
        <v>185</v>
      </c>
      <c r="M19" s="685">
        <v>6.6</v>
      </c>
      <c r="N19" s="794">
        <v>10</v>
      </c>
      <c r="P19" s="56"/>
      <c r="Q19" s="511"/>
      <c r="R19" s="297"/>
      <c r="S19" s="56"/>
      <c r="T19" s="56"/>
      <c r="U19" s="273" t="str">
        <f>IF(Contents!$B$2=2,"PBCS 37","СОКБ 37")</f>
        <v>СОКБ 37</v>
      </c>
      <c r="V19" s="56"/>
      <c r="W19" s="56">
        <v>2</v>
      </c>
      <c r="X19" s="56"/>
    </row>
    <row r="20" spans="1:24">
      <c r="A20" s="842"/>
      <c r="B20" s="697" t="str">
        <f>IF(Contents!$B$2=2, "Number of volunteer projects", "Количество волонтерских проектов")</f>
        <v>Количество волонтерских проектов</v>
      </c>
      <c r="C20" s="447" t="str">
        <f>IF(Contents!$B$2=2,"unit","ед.")</f>
        <v>ед.</v>
      </c>
      <c r="D20" s="46" t="s">
        <v>185</v>
      </c>
      <c r="E20" s="46" t="s">
        <v>185</v>
      </c>
      <c r="F20" s="46" t="s">
        <v>185</v>
      </c>
      <c r="G20" s="46" t="s">
        <v>185</v>
      </c>
      <c r="H20" s="46" t="s">
        <v>185</v>
      </c>
      <c r="I20" s="46" t="s">
        <v>185</v>
      </c>
      <c r="J20" s="46" t="s">
        <v>185</v>
      </c>
      <c r="K20" s="46" t="s">
        <v>185</v>
      </c>
      <c r="L20" s="696" t="s">
        <v>185</v>
      </c>
      <c r="M20" s="58">
        <v>7</v>
      </c>
      <c r="N20" s="98">
        <v>8</v>
      </c>
      <c r="P20" s="56"/>
      <c r="Q20" s="511"/>
      <c r="R20" s="297"/>
      <c r="S20" s="56"/>
      <c r="T20" s="56"/>
      <c r="U20" s="273" t="str">
        <f>IF(Contents!$B$2=2,"PBCS 37","СОКБ 37")</f>
        <v>СОКБ 37</v>
      </c>
      <c r="V20" s="56"/>
      <c r="W20" s="56">
        <v>2</v>
      </c>
      <c r="X20" s="56"/>
    </row>
    <row r="21" spans="1:24">
      <c r="A21" s="842"/>
      <c r="B21" s="695"/>
      <c r="C21" s="694"/>
      <c r="D21" s="693"/>
      <c r="E21" s="693"/>
      <c r="F21" s="693"/>
      <c r="G21" s="693"/>
      <c r="H21" s="693"/>
      <c r="I21" s="693"/>
      <c r="J21" s="693"/>
      <c r="K21" s="693"/>
      <c r="L21" s="693"/>
      <c r="M21" s="693"/>
      <c r="N21" s="693"/>
      <c r="P21" s="56"/>
      <c r="R21" s="56"/>
      <c r="S21" s="56"/>
      <c r="T21" s="56"/>
      <c r="U21" s="60"/>
      <c r="V21" s="56"/>
      <c r="W21" s="56"/>
      <c r="X21" s="56"/>
    </row>
    <row r="22" spans="1:24">
      <c r="A22" s="842"/>
      <c r="B22" s="25" t="str">
        <f>IF(Contents!$B$2=2,"Notes:","Примечания:")</f>
        <v>Примечания:</v>
      </c>
      <c r="C22" s="694"/>
      <c r="D22" s="693"/>
      <c r="E22" s="693"/>
      <c r="F22" s="693"/>
      <c r="G22" s="693"/>
      <c r="H22" s="693"/>
      <c r="I22" s="693"/>
      <c r="J22" s="693"/>
      <c r="K22" s="693"/>
      <c r="L22" s="693"/>
      <c r="M22" s="693"/>
      <c r="N22" s="693"/>
      <c r="P22" s="56"/>
      <c r="R22" s="56"/>
      <c r="S22" s="56"/>
      <c r="T22" s="56"/>
      <c r="U22" s="60"/>
      <c r="V22" s="56"/>
      <c r="W22" s="56"/>
      <c r="X22" s="56"/>
    </row>
    <row r="23" spans="1:24">
      <c r="B23" s="26" t="str">
        <f>IF(Contents!$B$2=2,"Employees who took part in environmental clean-ups and events are taken into account when calculating the Percentage of employee volunteers.","В расчете доли волонтеров среди работников учтены работники, принявшие участие в экологических субботниках и мероприятиях.")</f>
        <v>В расчете доли волонтеров среди работников учтены работники, принявшие участие в экологических субботниках и мероприятиях.</v>
      </c>
      <c r="C23" s="694"/>
      <c r="D23" s="693"/>
      <c r="E23" s="693"/>
      <c r="F23" s="693"/>
      <c r="G23" s="693"/>
      <c r="H23" s="693"/>
      <c r="I23" s="693"/>
      <c r="J23" s="693"/>
      <c r="K23" s="693"/>
      <c r="L23" s="693"/>
      <c r="M23" s="693"/>
      <c r="N23" s="693"/>
      <c r="P23" s="56"/>
      <c r="R23" s="56"/>
      <c r="S23" s="56"/>
      <c r="T23" s="56"/>
      <c r="U23" s="60"/>
      <c r="V23" s="56"/>
      <c r="W23" s="56"/>
      <c r="X23" s="56"/>
    </row>
    <row r="24" spans="1:24">
      <c r="B24" s="695"/>
      <c r="C24" s="694"/>
      <c r="D24" s="693"/>
      <c r="E24" s="693"/>
      <c r="F24" s="693"/>
      <c r="G24" s="693"/>
      <c r="H24" s="693"/>
      <c r="I24" s="693"/>
      <c r="J24" s="693"/>
      <c r="K24" s="693"/>
      <c r="L24" s="693"/>
      <c r="M24" s="693"/>
      <c r="N24" s="693"/>
      <c r="P24" s="56"/>
      <c r="R24" s="56"/>
      <c r="S24" s="56"/>
      <c r="T24" s="56"/>
      <c r="U24" s="60"/>
      <c r="V24" s="56"/>
      <c r="W24" s="56"/>
      <c r="X24" s="56"/>
    </row>
    <row r="25" spans="1:24" ht="20.100000000000001" customHeight="1">
      <c r="A25" s="692"/>
      <c r="B25" s="18" t="str">
        <f>IF(Contents!$B$2=2, "Co-operation with indigenous minorities of the North", "Взаимодействие с коренными малочисленными народами севера (КМНС)")</f>
        <v>Взаимодействие с коренными малочисленными народами севера (КМНС)</v>
      </c>
      <c r="C25" s="691"/>
      <c r="D25" s="690"/>
      <c r="E25" s="690"/>
      <c r="F25" s="690"/>
      <c r="G25" s="690"/>
      <c r="H25" s="690"/>
      <c r="I25" s="690"/>
      <c r="J25" s="690"/>
      <c r="K25" s="690"/>
      <c r="L25" s="690"/>
      <c r="M25" s="690"/>
      <c r="N25" s="690"/>
      <c r="U25" s="606"/>
    </row>
    <row r="26" spans="1:24" ht="51">
      <c r="A26" s="692"/>
      <c r="B26" s="684" t="str">
        <f>IF(Contents!$B$2=2, "Amount of funds allocated to support the indigenous peoples of the Far North", "Объем денежных средств, направленных на поддержку КМНС")</f>
        <v>Объем денежных средств, направленных на поддержку КМНС</v>
      </c>
      <c r="C26" s="689" t="str">
        <f>IF(Contents!$B$2=2,"RR mln","млн руб.")</f>
        <v>млн руб.</v>
      </c>
      <c r="D26" s="372" t="s">
        <v>185</v>
      </c>
      <c r="E26" s="372" t="s">
        <v>185</v>
      </c>
      <c r="F26" s="372" t="s">
        <v>185</v>
      </c>
      <c r="G26" s="372" t="s">
        <v>185</v>
      </c>
      <c r="H26" s="372" t="s">
        <v>185</v>
      </c>
      <c r="I26" s="372" t="s">
        <v>185</v>
      </c>
      <c r="J26" s="688">
        <v>145</v>
      </c>
      <c r="K26" s="688">
        <v>283</v>
      </c>
      <c r="L26" s="688">
        <v>248.5</v>
      </c>
      <c r="M26" s="688">
        <v>207.3</v>
      </c>
      <c r="N26" s="688">
        <v>279.39100000000002</v>
      </c>
      <c r="O26" s="885"/>
      <c r="P26" s="56" t="str">
        <f>IF(Contents!$B$2=2,"Yes","Да")</f>
        <v>Да</v>
      </c>
      <c r="Q26" s="511"/>
      <c r="R26" s="297" t="s">
        <v>158</v>
      </c>
      <c r="S26" s="56"/>
      <c r="T26" s="56" t="s">
        <v>159</v>
      </c>
      <c r="U26" s="60"/>
      <c r="V26" s="56"/>
      <c r="W26" s="56">
        <v>2</v>
      </c>
      <c r="X26" s="56"/>
    </row>
    <row r="27" spans="1:24">
      <c r="A27" s="692"/>
      <c r="B27" s="453" t="str">
        <f>IF(Contents!$B$2=2, "by area", "по направлениям")</f>
        <v>по направлениям</v>
      </c>
      <c r="C27" s="687"/>
      <c r="D27" s="111"/>
      <c r="E27" s="111"/>
      <c r="F27" s="111"/>
      <c r="G27" s="111"/>
      <c r="H27" s="111"/>
      <c r="I27" s="111"/>
      <c r="J27" s="111"/>
      <c r="K27" s="111"/>
      <c r="L27" s="686"/>
      <c r="M27" s="686"/>
      <c r="N27" s="686"/>
      <c r="P27" s="56"/>
      <c r="Q27" s="511"/>
      <c r="R27" s="297"/>
      <c r="S27" s="56"/>
      <c r="T27" s="56"/>
      <c r="U27" s="60"/>
      <c r="V27" s="56"/>
      <c r="W27" s="56"/>
      <c r="X27" s="56"/>
    </row>
    <row r="28" spans="1:24">
      <c r="A28" s="692"/>
      <c r="B28" s="232" t="str">
        <f>IF(Contents!$B$2=2, "Support for reindeer herding and traditional lifestyles", "Поддержка оленеводства и традиционного образа жизни")</f>
        <v>Поддержка оленеводства и традиционного образа жизни</v>
      </c>
      <c r="C28" s="447" t="str">
        <f>IF(Contents!$B$2=2,"RR mln","млн руб.")</f>
        <v>млн руб.</v>
      </c>
      <c r="D28" s="46" t="s">
        <v>185</v>
      </c>
      <c r="E28" s="46" t="s">
        <v>185</v>
      </c>
      <c r="F28" s="46" t="s">
        <v>185</v>
      </c>
      <c r="G28" s="46" t="s">
        <v>185</v>
      </c>
      <c r="H28" s="46" t="s">
        <v>185</v>
      </c>
      <c r="I28" s="46" t="s">
        <v>185</v>
      </c>
      <c r="J28" s="46" t="s">
        <v>185</v>
      </c>
      <c r="K28" s="46" t="s">
        <v>185</v>
      </c>
      <c r="L28" s="685">
        <v>106.5</v>
      </c>
      <c r="M28" s="685">
        <v>154.80000000000001</v>
      </c>
      <c r="N28" s="794">
        <v>210</v>
      </c>
      <c r="P28" s="56" t="str">
        <f>IF(Contents!$B$2=2,"Yes","Да")</f>
        <v>Да</v>
      </c>
      <c r="Q28" s="511"/>
      <c r="R28" s="56"/>
      <c r="S28" s="56"/>
      <c r="T28" s="56"/>
      <c r="U28" s="60"/>
      <c r="V28" s="56"/>
      <c r="W28" s="56">
        <v>2</v>
      </c>
      <c r="X28" s="56"/>
    </row>
    <row r="29" spans="1:24">
      <c r="A29" s="692"/>
      <c r="B29" s="232" t="str">
        <f>IF(Contents!$B$2=2, "Support for language, culture, and customs", "Поддержка языка, культуры и обычаев")</f>
        <v>Поддержка языка, культуры и обычаев</v>
      </c>
      <c r="C29" s="447" t="str">
        <f>IF(Contents!$B$2=2,"RR mln","млн руб.")</f>
        <v>млн руб.</v>
      </c>
      <c r="D29" s="46" t="s">
        <v>185</v>
      </c>
      <c r="E29" s="46" t="s">
        <v>185</v>
      </c>
      <c r="F29" s="46" t="s">
        <v>185</v>
      </c>
      <c r="G29" s="46" t="s">
        <v>185</v>
      </c>
      <c r="H29" s="46" t="s">
        <v>185</v>
      </c>
      <c r="I29" s="46" t="s">
        <v>185</v>
      </c>
      <c r="J29" s="46" t="s">
        <v>185</v>
      </c>
      <c r="K29" s="46" t="s">
        <v>185</v>
      </c>
      <c r="L29" s="685">
        <v>10</v>
      </c>
      <c r="M29" s="685">
        <v>13.6</v>
      </c>
      <c r="N29" s="794">
        <v>17.989999999999998</v>
      </c>
      <c r="P29" s="56" t="str">
        <f>IF(Contents!$B$2=2,"Yes","Да")</f>
        <v>Да</v>
      </c>
      <c r="Q29" s="511"/>
      <c r="R29" s="56"/>
      <c r="S29" s="56"/>
      <c r="T29" s="56"/>
      <c r="U29" s="60"/>
      <c r="V29" s="56"/>
      <c r="W29" s="56">
        <v>2</v>
      </c>
      <c r="X29" s="56"/>
    </row>
    <row r="30" spans="1:24">
      <c r="A30" s="692"/>
      <c r="B30" s="232" t="str">
        <f>IF(Contents!$B$2=2, "Provision of primary means of subsistence", "Предоставление первичных средств существования")</f>
        <v>Предоставление первичных средств существования</v>
      </c>
      <c r="C30" s="447" t="str">
        <f>IF(Contents!$B$2=2,"RR mln","млн руб.")</f>
        <v>млн руб.</v>
      </c>
      <c r="D30" s="46" t="s">
        <v>185</v>
      </c>
      <c r="E30" s="46" t="s">
        <v>185</v>
      </c>
      <c r="F30" s="46" t="s">
        <v>185</v>
      </c>
      <c r="G30" s="46" t="s">
        <v>185</v>
      </c>
      <c r="H30" s="46" t="s">
        <v>185</v>
      </c>
      <c r="I30" s="46" t="s">
        <v>185</v>
      </c>
      <c r="J30" s="46" t="s">
        <v>185</v>
      </c>
      <c r="K30" s="46" t="s">
        <v>185</v>
      </c>
      <c r="L30" s="685">
        <v>10.1</v>
      </c>
      <c r="M30" s="685">
        <v>12.8</v>
      </c>
      <c r="N30" s="794">
        <v>7.9</v>
      </c>
      <c r="P30" s="56" t="str">
        <f>IF(Contents!$B$2=2,"Yes","Да")</f>
        <v>Да</v>
      </c>
      <c r="Q30" s="511"/>
      <c r="R30" s="56"/>
      <c r="S30" s="56"/>
      <c r="T30" s="56"/>
      <c r="U30" s="60"/>
      <c r="V30" s="56"/>
      <c r="W30" s="56">
        <v>2</v>
      </c>
      <c r="X30" s="56"/>
    </row>
    <row r="31" spans="1:24">
      <c r="B31" s="232" t="str">
        <f>IF(Contents!$B$2=2, "Provision of transport for indigenous peoples of the Far North", "Обеспечение перевозок КМНС")</f>
        <v>Обеспечение перевозок КМНС</v>
      </c>
      <c r="C31" s="447" t="str">
        <f>IF(Contents!$B$2=2,"RR mln","млн руб.")</f>
        <v>млн руб.</v>
      </c>
      <c r="D31" s="46" t="s">
        <v>185</v>
      </c>
      <c r="E31" s="46" t="s">
        <v>185</v>
      </c>
      <c r="F31" s="46" t="s">
        <v>185</v>
      </c>
      <c r="G31" s="46" t="s">
        <v>185</v>
      </c>
      <c r="H31" s="46" t="s">
        <v>185</v>
      </c>
      <c r="I31" s="46" t="s">
        <v>185</v>
      </c>
      <c r="J31" s="46" t="s">
        <v>185</v>
      </c>
      <c r="K31" s="46" t="s">
        <v>185</v>
      </c>
      <c r="L31" s="685">
        <v>10.5</v>
      </c>
      <c r="M31" s="685">
        <v>5.8</v>
      </c>
      <c r="N31" s="794">
        <v>8.1</v>
      </c>
      <c r="P31" s="56" t="str">
        <f>IF(Contents!$B$2=2,"Yes","Да")</f>
        <v>Да</v>
      </c>
      <c r="Q31" s="511"/>
      <c r="R31" s="56"/>
      <c r="S31" s="56"/>
      <c r="T31" s="56"/>
      <c r="U31" s="60"/>
      <c r="V31" s="56"/>
      <c r="W31" s="56">
        <v>2</v>
      </c>
      <c r="X31" s="56"/>
    </row>
    <row r="32" spans="1:24">
      <c r="B32" s="232" t="str">
        <f>IF(Contents!$B$2=2, "Investments in the regional infrastructure", "Инвестиции в инфраструктуру региона")</f>
        <v>Инвестиции в инфраструктуру региона</v>
      </c>
      <c r="C32" s="447" t="str">
        <f>IF(Contents!$B$2=2,"RR mln","млн руб.")</f>
        <v>млн руб.</v>
      </c>
      <c r="D32" s="46" t="s">
        <v>185</v>
      </c>
      <c r="E32" s="46" t="s">
        <v>185</v>
      </c>
      <c r="F32" s="46" t="s">
        <v>185</v>
      </c>
      <c r="G32" s="46" t="s">
        <v>185</v>
      </c>
      <c r="H32" s="46" t="s">
        <v>185</v>
      </c>
      <c r="I32" s="46" t="s">
        <v>185</v>
      </c>
      <c r="J32" s="46" t="s">
        <v>185</v>
      </c>
      <c r="K32" s="46" t="s">
        <v>185</v>
      </c>
      <c r="L32" s="685">
        <v>106.9</v>
      </c>
      <c r="M32" s="685">
        <v>15.1</v>
      </c>
      <c r="N32" s="794">
        <v>35.049999999999997</v>
      </c>
      <c r="P32" s="56" t="str">
        <f>IF(Contents!$B$2=2,"Yes","Да")</f>
        <v>Да</v>
      </c>
      <c r="Q32" s="511"/>
      <c r="R32" s="56"/>
      <c r="S32" s="56"/>
      <c r="T32" s="56"/>
      <c r="U32" s="60"/>
      <c r="V32" s="56"/>
      <c r="W32" s="56">
        <v>2</v>
      </c>
      <c r="X32" s="56"/>
    </row>
    <row r="33" spans="2:25">
      <c r="B33" s="232" t="str">
        <f>IF(Contents!$B$2=2, "Other", "Прочее")</f>
        <v>Прочее</v>
      </c>
      <c r="C33" s="447" t="str">
        <f>IF(Contents!$B$2=2,"RR mln","млн руб.")</f>
        <v>млн руб.</v>
      </c>
      <c r="D33" s="46" t="s">
        <v>185</v>
      </c>
      <c r="E33" s="46" t="s">
        <v>185</v>
      </c>
      <c r="F33" s="46" t="s">
        <v>185</v>
      </c>
      <c r="G33" s="46" t="s">
        <v>185</v>
      </c>
      <c r="H33" s="46" t="s">
        <v>185</v>
      </c>
      <c r="I33" s="46" t="s">
        <v>185</v>
      </c>
      <c r="J33" s="46" t="s">
        <v>185</v>
      </c>
      <c r="K33" s="46" t="s">
        <v>185</v>
      </c>
      <c r="L33" s="685">
        <v>4.5</v>
      </c>
      <c r="M33" s="685">
        <v>5.2</v>
      </c>
      <c r="N33" s="794">
        <v>0.35099999999999998</v>
      </c>
      <c r="P33" s="56" t="str">
        <f>IF(Contents!$B$2=2,"Yes","Да")</f>
        <v>Да</v>
      </c>
      <c r="Q33" s="511"/>
      <c r="R33" s="56"/>
      <c r="S33" s="56"/>
      <c r="T33" s="56"/>
      <c r="U33" s="60"/>
      <c r="V33" s="56"/>
      <c r="W33" s="56">
        <v>2</v>
      </c>
      <c r="X33" s="56"/>
    </row>
    <row r="34" spans="2:25">
      <c r="B34" s="232"/>
      <c r="C34" s="447"/>
      <c r="D34" s="46"/>
      <c r="E34" s="46"/>
      <c r="F34" s="46"/>
      <c r="G34" s="46"/>
      <c r="H34" s="46"/>
      <c r="I34" s="46"/>
      <c r="J34" s="46"/>
      <c r="K34" s="46"/>
      <c r="L34" s="685"/>
      <c r="M34" s="685"/>
      <c r="N34" s="685"/>
      <c r="O34" s="685"/>
      <c r="P34" s="56"/>
      <c r="Q34" s="511"/>
      <c r="R34" s="56"/>
      <c r="S34" s="56"/>
      <c r="T34" s="56"/>
      <c r="U34" s="60"/>
      <c r="V34" s="56"/>
      <c r="W34" s="56"/>
      <c r="X34" s="56"/>
    </row>
    <row r="35" spans="2:25" ht="25.5">
      <c r="B35" s="684" t="str">
        <f>IF(Contents!$B$2=2, "Number of violations of indigenous peoples' rights", "Количество нарушений прав коренных народов")</f>
        <v>Количество нарушений прав коренных народов</v>
      </c>
      <c r="C35" s="444" t="str">
        <f>IF(Contents!$B$2=2,"unit","ед.")</f>
        <v>ед.</v>
      </c>
      <c r="D35" s="372" t="s">
        <v>185</v>
      </c>
      <c r="E35" s="372" t="s">
        <v>185</v>
      </c>
      <c r="F35" s="372" t="s">
        <v>185</v>
      </c>
      <c r="G35" s="372" t="s">
        <v>185</v>
      </c>
      <c r="H35" s="372" t="s">
        <v>185</v>
      </c>
      <c r="I35" s="372" t="s">
        <v>185</v>
      </c>
      <c r="J35" s="296">
        <v>0</v>
      </c>
      <c r="K35" s="296">
        <v>0</v>
      </c>
      <c r="L35" s="296">
        <v>0</v>
      </c>
      <c r="M35" s="296">
        <v>0</v>
      </c>
      <c r="N35" s="296">
        <v>0</v>
      </c>
      <c r="P35" s="56" t="str">
        <f>IF(Contents!$B$2=2,"Yes","Да")</f>
        <v>Да</v>
      </c>
      <c r="Q35" s="511"/>
      <c r="R35" s="297" t="s">
        <v>160</v>
      </c>
      <c r="S35" s="56"/>
      <c r="T35" s="56" t="s">
        <v>161</v>
      </c>
      <c r="U35" s="273" t="str">
        <f>IF(Contents!$B$2=2,"PBCS 3.7","СОКБ 3.7")</f>
        <v>СОКБ 3.7</v>
      </c>
      <c r="V35" s="56"/>
      <c r="W35" s="56">
        <v>1</v>
      </c>
      <c r="X35" s="56"/>
    </row>
    <row r="36" spans="2:25" ht="43.5" customHeight="1">
      <c r="B36" s="683" t="str">
        <f>IF(Contents!$B$2=2, "Hotline inquiries from the indigenous peoples of the Far North", "Обращения КМНС на горячую линию")</f>
        <v>Обращения КМНС на горячую линию</v>
      </c>
      <c r="C36" s="447" t="str">
        <f>IF(Contents!$B$2=2,"unit","ед.")</f>
        <v>ед.</v>
      </c>
      <c r="D36" s="46" t="s">
        <v>185</v>
      </c>
      <c r="E36" s="46" t="s">
        <v>185</v>
      </c>
      <c r="F36" s="46" t="s">
        <v>185</v>
      </c>
      <c r="G36" s="46" t="s">
        <v>185</v>
      </c>
      <c r="H36" s="46" t="s">
        <v>185</v>
      </c>
      <c r="I36" s="46" t="s">
        <v>185</v>
      </c>
      <c r="J36" s="58">
        <v>45</v>
      </c>
      <c r="K36" s="58">
        <v>65</v>
      </c>
      <c r="L36" s="58">
        <v>138</v>
      </c>
      <c r="M36" s="58">
        <v>150</v>
      </c>
      <c r="N36" s="98">
        <v>167</v>
      </c>
      <c r="O36" s="869"/>
      <c r="P36" s="56" t="str">
        <f>IF(Contents!$B$2=2,"Yes","Да")</f>
        <v>Да</v>
      </c>
      <c r="Q36" s="511"/>
      <c r="R36" s="56" t="s">
        <v>162</v>
      </c>
      <c r="S36" s="56"/>
      <c r="T36" s="56" t="s">
        <v>161</v>
      </c>
      <c r="U36" s="60"/>
      <c r="V36" s="56"/>
      <c r="W36" s="56">
        <v>1</v>
      </c>
      <c r="X36" s="56"/>
    </row>
    <row r="37" spans="2:25" ht="54">
      <c r="B37" s="683" t="str">
        <f>IF(Contents!$B$2=2, "Number of recorded socially significant incidents (strikes and cases of violation of local community rights by the organization that triggered public actions)", "Количество зафиксированных социально значимых инцидентов (забастовки и случаи нарушения со стороны организации прав местных сообществ, приведшие к публичным мероприятиям)")</f>
        <v>Количество зафиксированных социально значимых инцидентов (забастовки и случаи нарушения со стороны организации прав местных сообществ, приведшие к публичным мероприятиям)</v>
      </c>
      <c r="C37" s="434" t="str">
        <f>IF(Contents!$B$2=2,"unit","ед.")</f>
        <v>ед.</v>
      </c>
      <c r="D37" s="46">
        <v>0</v>
      </c>
      <c r="E37" s="46">
        <v>0</v>
      </c>
      <c r="F37" s="46">
        <v>0</v>
      </c>
      <c r="G37" s="46">
        <v>0</v>
      </c>
      <c r="H37" s="46">
        <v>0</v>
      </c>
      <c r="I37" s="46">
        <v>0</v>
      </c>
      <c r="J37" s="46">
        <v>0</v>
      </c>
      <c r="K37" s="46">
        <v>0</v>
      </c>
      <c r="L37" s="46">
        <v>0</v>
      </c>
      <c r="M37" s="46">
        <v>0</v>
      </c>
      <c r="N37" s="104">
        <v>0</v>
      </c>
      <c r="O37" s="58"/>
      <c r="P37" s="56"/>
      <c r="Q37" s="511"/>
      <c r="R37" s="56"/>
      <c r="S37" s="56"/>
      <c r="T37" s="56"/>
      <c r="U37" s="273" t="str">
        <f>IF(Contents!$B$2=2,"PBCS 3.14","СОКБ 3.14")</f>
        <v>СОКБ 3.14</v>
      </c>
      <c r="V37" s="56"/>
      <c r="W37" s="56">
        <v>1</v>
      </c>
      <c r="X37" s="56"/>
    </row>
    <row r="38" spans="2:25">
      <c r="B38" s="683"/>
      <c r="C38" s="434"/>
      <c r="D38" s="46"/>
      <c r="E38" s="46"/>
      <c r="F38" s="46"/>
      <c r="G38" s="46"/>
      <c r="H38" s="46"/>
      <c r="I38" s="46"/>
      <c r="J38" s="46"/>
      <c r="K38" s="46"/>
      <c r="L38" s="46"/>
      <c r="P38" s="56"/>
      <c r="Q38" s="58"/>
      <c r="R38" s="56"/>
      <c r="S38" s="56"/>
      <c r="T38" s="56"/>
      <c r="U38" s="273"/>
      <c r="V38" s="56"/>
      <c r="W38" s="56"/>
      <c r="X38" s="56"/>
    </row>
    <row r="39" spans="2:25">
      <c r="B39" s="352"/>
      <c r="C39" s="352"/>
      <c r="D39" s="352"/>
      <c r="E39" s="352"/>
      <c r="F39" s="352"/>
      <c r="G39" s="352"/>
      <c r="H39" s="352"/>
      <c r="I39" s="352"/>
      <c r="J39" s="352"/>
      <c r="K39" s="352"/>
      <c r="L39" s="352"/>
      <c r="M39" s="46"/>
      <c r="N39" s="46"/>
      <c r="O39" s="46"/>
      <c r="P39" s="627"/>
      <c r="Q39" s="352"/>
      <c r="R39" s="627"/>
      <c r="S39" s="627"/>
      <c r="T39" s="627"/>
      <c r="U39" s="627"/>
      <c r="V39" s="627"/>
      <c r="W39" s="627"/>
      <c r="X39" s="627"/>
      <c r="Y39" s="627"/>
    </row>
    <row r="40" spans="2:25">
      <c r="P40" s="598"/>
      <c r="V40" s="56"/>
      <c r="W40" s="56"/>
      <c r="X40" s="56"/>
    </row>
    <row r="41" spans="2:25">
      <c r="B41" s="141" t="str">
        <f>IF(Contents!$B$2=2,"For more information, see the Sustainable Development Reports for 2020-2025 (the Local communities chapter).","Для получения дополнительной информации см. Отчеты об устойчивом развитии за 2020-2025 гг. (глава «Местные сообщества»).")</f>
        <v>Для получения дополнительной информации см. Отчеты об устойчивом развитии за 2020-2025 гг. (глава «Местные сообщества»).</v>
      </c>
      <c r="P41" s="598"/>
      <c r="V41" s="56"/>
      <c r="W41" s="56"/>
      <c r="X41" s="56"/>
    </row>
    <row r="42" spans="2:25">
      <c r="B42" s="682"/>
      <c r="P42" s="598"/>
      <c r="V42" s="56"/>
      <c r="W42" s="56"/>
      <c r="X42" s="56"/>
    </row>
    <row r="43" spans="2:25">
      <c r="P43" s="598"/>
      <c r="V43" s="56"/>
      <c r="W43" s="56"/>
      <c r="X43" s="56"/>
    </row>
    <row r="44" spans="2:25">
      <c r="P44" s="598"/>
      <c r="V44" s="56"/>
      <c r="W44" s="56"/>
      <c r="X44" s="56"/>
    </row>
    <row r="45" spans="2:25">
      <c r="P45" s="598"/>
      <c r="V45" s="56"/>
      <c r="W45" s="56"/>
      <c r="X45" s="56"/>
    </row>
    <row r="46" spans="2:25">
      <c r="P46" s="598"/>
      <c r="V46" s="56"/>
      <c r="W46" s="56"/>
      <c r="X46" s="56"/>
    </row>
    <row r="47" spans="2:25">
      <c r="V47" s="56"/>
      <c r="W47" s="56"/>
      <c r="X47" s="56"/>
    </row>
    <row r="48" spans="2:25">
      <c r="V48" s="56"/>
      <c r="W48" s="56"/>
      <c r="X48" s="56"/>
    </row>
    <row r="49" spans="22:24">
      <c r="V49" s="56"/>
      <c r="W49" s="56"/>
      <c r="X49" s="56"/>
    </row>
    <row r="50" spans="22:24">
      <c r="V50" s="56"/>
      <c r="W50" s="56"/>
      <c r="X50" s="56"/>
    </row>
    <row r="51" spans="22:24">
      <c r="V51" s="56"/>
      <c r="W51" s="56"/>
      <c r="X51" s="56"/>
    </row>
    <row r="52" spans="22:24">
      <c r="V52" s="56"/>
      <c r="W52" s="56"/>
      <c r="X52" s="56"/>
    </row>
    <row r="53" spans="22:24">
      <c r="V53" s="56"/>
      <c r="W53" s="56"/>
      <c r="X53" s="56"/>
    </row>
    <row r="54" spans="22:24">
      <c r="V54" s="56"/>
      <c r="W54" s="56"/>
      <c r="X54" s="56"/>
    </row>
    <row r="55" spans="22:24">
      <c r="V55" s="56"/>
      <c r="W55" s="56"/>
      <c r="X55" s="56"/>
    </row>
    <row r="56" spans="22:24">
      <c r="V56" s="56"/>
      <c r="W56" s="56"/>
      <c r="X56" s="56"/>
    </row>
    <row r="57" spans="22:24">
      <c r="V57" s="56"/>
      <c r="W57" s="56"/>
      <c r="X57" s="56"/>
    </row>
    <row r="58" spans="22:24">
      <c r="V58" s="56"/>
      <c r="W58" s="56"/>
      <c r="X58" s="56"/>
    </row>
    <row r="59" spans="22:24">
      <c r="V59" s="56"/>
      <c r="W59" s="56"/>
      <c r="X59" s="56"/>
    </row>
    <row r="60" spans="22:24">
      <c r="V60" s="56"/>
      <c r="W60" s="56"/>
      <c r="X60" s="56"/>
    </row>
    <row r="61" spans="22:24">
      <c r="V61" s="56"/>
      <c r="W61" s="56"/>
      <c r="X61" s="56"/>
    </row>
    <row r="62" spans="22:24">
      <c r="V62" s="56"/>
      <c r="W62" s="56"/>
      <c r="X62" s="56"/>
    </row>
    <row r="63" spans="22:24">
      <c r="V63" s="56"/>
      <c r="W63" s="56"/>
      <c r="X63" s="56"/>
    </row>
    <row r="64" spans="22:24">
      <c r="V64" s="56"/>
      <c r="W64" s="56"/>
      <c r="X64" s="56"/>
    </row>
    <row r="65" spans="22:24">
      <c r="V65" s="56"/>
      <c r="W65" s="56"/>
      <c r="X65" s="56"/>
    </row>
    <row r="66" spans="22:24">
      <c r="V66" s="56"/>
      <c r="W66" s="56"/>
      <c r="X66" s="56"/>
    </row>
    <row r="67" spans="22:24">
      <c r="V67" s="56"/>
      <c r="W67" s="56"/>
      <c r="X67" s="56"/>
    </row>
    <row r="68" spans="22:24">
      <c r="V68" s="56"/>
      <c r="W68" s="56"/>
      <c r="X68" s="56"/>
    </row>
    <row r="69" spans="22:24">
      <c r="V69" s="56"/>
      <c r="W69" s="56"/>
      <c r="X69" s="56"/>
    </row>
    <row r="70" spans="22:24">
      <c r="W70" s="56"/>
    </row>
    <row r="71" spans="22:24">
      <c r="W71" s="56"/>
    </row>
  </sheetData>
  <hyperlinks>
    <hyperlink ref="B3" location="'Local communities'!B8" display="'Local communities'!B8"/>
    <hyperlink ref="C3" location="'Local communities'!B17" display="'Local communities'!B17"/>
    <hyperlink ref="B41" r:id="rId1" display="https://www.novatek.ru/en/development/archive/"/>
    <hyperlink ref="E3" location="'Local communities'!B25" display="'Local communities'!B25"/>
    <hyperlink ref="B1" location="Contents!A1" display="← Back to Contents"/>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A90"/>
  <sheetViews>
    <sheetView zoomScale="50" zoomScaleNormal="50" workbookViewId="0">
      <pane xSplit="1" ySplit="7" topLeftCell="B8" activePane="bottomRight" state="frozen"/>
      <selection pane="topRight" activeCell="B1" sqref="B1"/>
      <selection pane="bottomLeft" activeCell="A8" sqref="A8"/>
      <selection pane="bottomRight" activeCell="N1" sqref="N1"/>
    </sheetView>
  </sheetViews>
  <sheetFormatPr defaultColWidth="91" defaultRowHeight="18.75"/>
  <cols>
    <col min="1" max="1" width="10.42578125" style="43" customWidth="1"/>
    <col min="2" max="2" width="100.42578125" style="43" customWidth="1"/>
    <col min="3" max="3" width="20.42578125" style="252" customWidth="1"/>
    <col min="4" max="8" width="20.42578125" style="253" customWidth="1"/>
    <col min="9" max="9" width="20.42578125" style="255" customWidth="1"/>
    <col min="10" max="14" width="20.42578125" style="253" customWidth="1"/>
    <col min="15" max="15" width="16.85546875" style="253" customWidth="1"/>
    <col min="16" max="16" width="15.42578125" style="606" customWidth="1"/>
    <col min="17" max="17" width="12.42578125" style="253" customWidth="1"/>
    <col min="18" max="18" width="20.42578125" style="617" customWidth="1"/>
    <col min="19" max="20" width="20.42578125" style="606" customWidth="1"/>
    <col min="21" max="21" width="20.42578125" style="607" customWidth="1"/>
    <col min="22" max="22" width="5.42578125" style="606" customWidth="1"/>
    <col min="23" max="23" width="15.42578125" style="606" customWidth="1"/>
    <col min="24" max="25" width="5.42578125" style="606" customWidth="1"/>
    <col min="26" max="248" width="8.85546875" style="43" customWidth="1"/>
    <col min="249" max="249" width="13.42578125" style="43" customWidth="1"/>
    <col min="250" max="16384" width="91" style="43"/>
  </cols>
  <sheetData>
    <row r="1" spans="1:25" ht="80.099999999999994" customHeight="1">
      <c r="B1" s="487" t="s">
        <v>168</v>
      </c>
      <c r="G1" s="254"/>
    </row>
    <row r="2" spans="1:25">
      <c r="B2" s="151" t="str">
        <f>IF(Contents!$B$2=2,"CONTENTS","СОДЕРЖАНИЕ")</f>
        <v>СОДЕРЖАНИЕ</v>
      </c>
      <c r="C2" s="257"/>
      <c r="D2" s="257"/>
      <c r="E2" s="257"/>
      <c r="F2" s="258"/>
      <c r="G2" s="258"/>
      <c r="H2" s="258"/>
      <c r="I2" s="257"/>
      <c r="J2" s="257"/>
      <c r="K2" s="257"/>
      <c r="L2" s="257"/>
      <c r="M2" s="257"/>
      <c r="N2" s="257"/>
      <c r="O2" s="746"/>
      <c r="Q2" s="746"/>
      <c r="R2" s="747"/>
      <c r="S2" s="747"/>
      <c r="T2" s="747"/>
      <c r="U2" s="747"/>
    </row>
    <row r="3" spans="1:25">
      <c r="B3" s="568" t="str">
        <f>IF(Contents!$B$2=2,"Board of Directors","Совет директоров")</f>
        <v>Совет директоров</v>
      </c>
      <c r="C3" s="568" t="str">
        <f>IF(Contents!$B$2=2,"Management Board","Правление")</f>
        <v>Правление</v>
      </c>
      <c r="D3" s="568"/>
      <c r="E3" s="568" t="str">
        <f>IF(Contents!$B$2=2,"Security hotline","Горячая линия безопасности")</f>
        <v>Горячая линия безопасности</v>
      </c>
      <c r="F3" s="568"/>
      <c r="G3" s="568"/>
      <c r="H3" s="568" t="str">
        <f>IF(Contents!$B$2=2,"Innovation","Инновации")</f>
        <v>Инновации</v>
      </c>
      <c r="J3" s="568"/>
      <c r="K3" s="255"/>
      <c r="L3" s="492"/>
      <c r="M3" s="536"/>
      <c r="N3" s="536"/>
      <c r="O3" s="746"/>
      <c r="Q3" s="746"/>
      <c r="R3" s="745"/>
      <c r="S3" s="56"/>
      <c r="T3" s="56"/>
      <c r="U3" s="60"/>
    </row>
    <row r="4" spans="1:25">
      <c r="B4" s="568" t="str">
        <f>IF(Contents!$B$2=2,"Board of Directors Committees","Комитеты совета директоров")</f>
        <v>Комитеты совета директоров</v>
      </c>
      <c r="C4" s="568"/>
      <c r="D4" s="568"/>
      <c r="E4" s="568" t="str">
        <f>IF(Contents!$B$2=2,"Responsible supply chain","Ответственная цепочка поставок")</f>
        <v>Ответственная цепочка поставок</v>
      </c>
      <c r="F4" s="568"/>
      <c r="G4" s="568"/>
      <c r="H4" s="568"/>
      <c r="J4" s="568"/>
      <c r="K4" s="492"/>
      <c r="L4" s="492"/>
      <c r="M4" s="707"/>
      <c r="N4" s="707"/>
      <c r="R4" s="742"/>
      <c r="S4" s="56"/>
      <c r="T4" s="56"/>
      <c r="U4" s="60"/>
    </row>
    <row r="5" spans="1:25">
      <c r="B5" s="251"/>
      <c r="C5" s="744"/>
      <c r="D5" s="568"/>
      <c r="E5" s="568"/>
      <c r="F5" s="568"/>
      <c r="G5" s="568"/>
      <c r="H5" s="568"/>
      <c r="J5" s="743"/>
      <c r="M5" s="43"/>
      <c r="N5" s="43"/>
      <c r="O5" s="43"/>
      <c r="Q5" s="43"/>
      <c r="R5" s="742"/>
      <c r="S5" s="56"/>
      <c r="T5" s="56"/>
      <c r="U5" s="60"/>
    </row>
    <row r="6" spans="1:25" ht="30">
      <c r="A6" s="699"/>
      <c r="B6" s="481" t="str">
        <f>IF(Contents!$B$2=2,"Corporate governance","Корпоративное управление")</f>
        <v>Корпоративное управление</v>
      </c>
      <c r="C6" s="741"/>
      <c r="D6" s="740"/>
      <c r="E6" s="739"/>
      <c r="F6" s="738"/>
      <c r="G6" s="738"/>
      <c r="H6" s="738"/>
      <c r="I6" s="737"/>
      <c r="J6" s="736"/>
      <c r="K6" s="736"/>
      <c r="L6" s="736"/>
      <c r="M6" s="736"/>
      <c r="N6" s="736"/>
      <c r="P6" s="735"/>
      <c r="R6" s="735"/>
      <c r="S6" s="735"/>
      <c r="T6" s="735"/>
      <c r="U6" s="735"/>
      <c r="V6" s="56"/>
      <c r="W6" s="735"/>
      <c r="X6" s="56"/>
    </row>
    <row r="7" spans="1:25" ht="54.95" customHeight="1">
      <c r="A7" s="699"/>
      <c r="B7" s="268"/>
      <c r="C7" s="269"/>
      <c r="D7" s="270">
        <v>2015</v>
      </c>
      <c r="E7" s="270">
        <v>2016</v>
      </c>
      <c r="F7" s="270">
        <v>2017</v>
      </c>
      <c r="G7" s="271">
        <v>2018</v>
      </c>
      <c r="H7" s="271">
        <v>2019</v>
      </c>
      <c r="I7" s="271">
        <v>2020</v>
      </c>
      <c r="J7" s="270">
        <v>2021</v>
      </c>
      <c r="K7" s="270">
        <v>2022</v>
      </c>
      <c r="L7" s="270">
        <v>2023</v>
      </c>
      <c r="M7" s="270">
        <v>2024</v>
      </c>
      <c r="N7" s="270">
        <v>2025</v>
      </c>
      <c r="P7" s="586" t="str">
        <f>IF(Contents!$B$2=2,"Subject to external assurance in 2025","Внешний аудит в 2025 г.")</f>
        <v>Внешний аудит в 2025 г.</v>
      </c>
      <c r="Q7" s="930"/>
      <c r="R7" s="602" t="str">
        <f>IF(Contents!$B$2=2,"GRI 2021 Disclosure, including GRI 11: Oil and Gas Sector 2021","Индексы Стандартов GRI 2021, в т.ч. GRI 11: Oil and Gas Sector")</f>
        <v>Индексы Стандартов GRI 2021, в т.ч. GRI 11: Oil and Gas Sector</v>
      </c>
      <c r="S7" s="602" t="str">
        <f>IF(Contents!$B$2=2,"Standards' Code SASB Oil &amp; Gas – Exploration &amp; Production 2023","Индексы Стандартов SASB Oil &amp; Gas – Exploration &amp; Production 2023")</f>
        <v>Индексы Стандартов SASB Oil &amp; Gas – Exploration &amp; Production 2023</v>
      </c>
      <c r="T7" s="602" t="str">
        <f>IF(Contents!$B$2=2,"Standards' indices IPIECA 2020","Индексы Стандартов IPIECA 2020")</f>
        <v>Индексы Стандартов IPIECA 2020</v>
      </c>
      <c r="U7" s="602" t="str">
        <f>IF(Contents!$B$2=2,"Indices of the Public Business Capital Standard","Индексы Стандарта общественного капитала бизнеса")</f>
        <v>Индексы Стандарта общественного капитала бизнеса</v>
      </c>
      <c r="V7" s="504"/>
      <c r="W7" s="586" t="str">
        <f>IF(Contents!$B$2=2,"Report scope","Границы отчетности")</f>
        <v>Границы отчетности</v>
      </c>
      <c r="X7" s="504"/>
      <c r="Y7" s="504"/>
    </row>
    <row r="8" spans="1:25" ht="20.100000000000001" customHeight="1">
      <c r="A8" s="699"/>
      <c r="B8" s="45" t="str">
        <f>IF(Contents!$B$2=2,"Board of Directors","Совет директоров")</f>
        <v>Совет директоров</v>
      </c>
      <c r="C8" s="45"/>
      <c r="D8" s="45"/>
      <c r="E8" s="45"/>
      <c r="F8" s="45"/>
      <c r="G8" s="45"/>
      <c r="H8" s="45"/>
      <c r="I8" s="45"/>
      <c r="J8" s="45"/>
      <c r="K8" s="45"/>
      <c r="L8" s="45"/>
      <c r="M8" s="45"/>
      <c r="N8" s="45"/>
      <c r="P8" s="56"/>
      <c r="R8" s="734"/>
      <c r="S8" s="618"/>
      <c r="T8" s="618"/>
      <c r="U8" s="618"/>
      <c r="V8" s="56"/>
      <c r="W8" s="56"/>
      <c r="X8" s="56"/>
      <c r="Y8" s="56"/>
    </row>
    <row r="9" spans="1:25" ht="25.5">
      <c r="B9" s="443" t="str">
        <f>IF(Contents!$B$2=2,"Composition","Состав")</f>
        <v>Состав</v>
      </c>
      <c r="C9" s="444"/>
      <c r="D9" s="296"/>
      <c r="E9" s="296"/>
      <c r="F9" s="296"/>
      <c r="G9" s="296"/>
      <c r="H9" s="296"/>
      <c r="I9" s="296"/>
      <c r="J9" s="296"/>
      <c r="K9" s="296"/>
      <c r="L9" s="296"/>
      <c r="M9" s="296"/>
      <c r="N9" s="296"/>
      <c r="P9" s="56"/>
      <c r="R9" s="465" t="s">
        <v>169</v>
      </c>
      <c r="S9" s="614"/>
      <c r="T9" s="71" t="s">
        <v>163</v>
      </c>
      <c r="U9" s="614"/>
      <c r="V9" s="56"/>
      <c r="W9" s="56"/>
      <c r="X9" s="56"/>
      <c r="Y9" s="56"/>
    </row>
    <row r="10" spans="1:25" ht="18">
      <c r="B10" s="409" t="str">
        <f>IF(Contents!$B$2=2,"Board of Directors members","Члены Совета директоров")</f>
        <v>Члены Совета директоров</v>
      </c>
      <c r="C10" s="103" t="str">
        <f>IF(Contents!$B$2=2,"people"," человек")</f>
        <v xml:space="preserve"> человек</v>
      </c>
      <c r="D10" s="466">
        <v>9</v>
      </c>
      <c r="E10" s="466">
        <v>9</v>
      </c>
      <c r="F10" s="466">
        <v>9</v>
      </c>
      <c r="G10" s="466">
        <v>9</v>
      </c>
      <c r="H10" s="466">
        <v>9</v>
      </c>
      <c r="I10" s="466">
        <v>9</v>
      </c>
      <c r="J10" s="466">
        <v>9</v>
      </c>
      <c r="K10" s="466">
        <v>9</v>
      </c>
      <c r="L10" s="466">
        <v>9</v>
      </c>
      <c r="M10" s="466">
        <v>9</v>
      </c>
      <c r="N10" s="924">
        <v>9</v>
      </c>
      <c r="P10" s="56" t="str">
        <f>IF(Contents!$B$2=2,"Yes","Да")</f>
        <v>Да</v>
      </c>
      <c r="R10" s="297"/>
      <c r="S10" s="56"/>
      <c r="T10" s="56"/>
      <c r="U10" s="297"/>
      <c r="V10" s="56"/>
      <c r="W10" s="56">
        <v>1</v>
      </c>
      <c r="X10" s="56"/>
      <c r="Y10" s="56"/>
    </row>
    <row r="11" spans="1:25" ht="18">
      <c r="B11" s="23" t="str">
        <f>IF(Contents!$B$2=2,"by gender","по полу")</f>
        <v>по полу</v>
      </c>
      <c r="C11" s="77"/>
      <c r="D11" s="446"/>
      <c r="E11" s="446"/>
      <c r="F11" s="446"/>
      <c r="G11" s="446"/>
      <c r="H11" s="446"/>
      <c r="I11" s="722"/>
      <c r="J11" s="721"/>
      <c r="K11" s="721"/>
      <c r="L11" s="721"/>
      <c r="M11" s="721"/>
      <c r="N11" s="721"/>
      <c r="P11" s="56"/>
      <c r="R11" s="297"/>
      <c r="S11" s="56"/>
      <c r="T11" s="56"/>
      <c r="U11" s="60"/>
      <c r="V11" s="56"/>
      <c r="W11" s="56"/>
      <c r="X11" s="56"/>
      <c r="Y11" s="56"/>
    </row>
    <row r="12" spans="1:25" ht="18">
      <c r="B12" s="177" t="str">
        <f>IF(Contents!$B$2=2,"Male","Мужчины")</f>
        <v>Мужчины</v>
      </c>
      <c r="C12" s="103" t="str">
        <f>IF(Contents!$B$2=2,"people"," человек")</f>
        <v xml:space="preserve"> человек</v>
      </c>
      <c r="D12" s="466">
        <v>9</v>
      </c>
      <c r="E12" s="466">
        <v>9</v>
      </c>
      <c r="F12" s="466">
        <v>9</v>
      </c>
      <c r="G12" s="466">
        <v>9</v>
      </c>
      <c r="H12" s="466">
        <v>9</v>
      </c>
      <c r="I12" s="101">
        <v>8</v>
      </c>
      <c r="J12" s="101">
        <v>8</v>
      </c>
      <c r="K12" s="101">
        <v>7</v>
      </c>
      <c r="L12" s="101">
        <v>8</v>
      </c>
      <c r="M12" s="101">
        <v>8</v>
      </c>
      <c r="N12" s="204">
        <v>8</v>
      </c>
      <c r="P12" s="56" t="str">
        <f>IF(Contents!$B$2=2,"Yes","Да")</f>
        <v>Да</v>
      </c>
      <c r="R12" s="297"/>
      <c r="S12" s="56"/>
      <c r="T12" s="56"/>
      <c r="U12" s="299"/>
      <c r="V12" s="56"/>
      <c r="W12" s="56"/>
      <c r="X12" s="56"/>
      <c r="Y12" s="56"/>
    </row>
    <row r="13" spans="1:25" ht="18">
      <c r="B13" s="177" t="str">
        <f>IF(Contents!$B$2=2,"Female","Женщины")</f>
        <v>Женщины</v>
      </c>
      <c r="C13" s="103" t="str">
        <f>IF(Contents!$B$2=2,"people"," человек")</f>
        <v xml:space="preserve"> человек</v>
      </c>
      <c r="D13" s="466">
        <v>0</v>
      </c>
      <c r="E13" s="466">
        <v>0</v>
      </c>
      <c r="F13" s="466">
        <v>0</v>
      </c>
      <c r="G13" s="466">
        <v>0</v>
      </c>
      <c r="H13" s="466">
        <v>0</v>
      </c>
      <c r="I13" s="101">
        <v>1</v>
      </c>
      <c r="J13" s="101">
        <v>1</v>
      </c>
      <c r="K13" s="101">
        <v>2</v>
      </c>
      <c r="L13" s="101">
        <v>1</v>
      </c>
      <c r="M13" s="101">
        <v>1</v>
      </c>
      <c r="N13" s="204">
        <v>1</v>
      </c>
      <c r="O13" s="58"/>
      <c r="P13" s="56" t="str">
        <f>IF(Contents!$B$2=2,"Yes","Да")</f>
        <v>Да</v>
      </c>
      <c r="R13" s="297"/>
      <c r="S13" s="56"/>
      <c r="T13" s="56"/>
      <c r="U13" s="299"/>
      <c r="V13" s="56"/>
      <c r="W13" s="56"/>
      <c r="X13" s="56"/>
      <c r="Y13" s="56"/>
    </row>
    <row r="14" spans="1:25">
      <c r="B14" s="723" t="str">
        <f>IF(Contents!$B$2=2,"Percentage of Female in the Board of Directors","Доля женщин в Совете директоров")</f>
        <v>Доля женщин в Совете директоров</v>
      </c>
      <c r="C14" s="103" t="s">
        <v>0</v>
      </c>
      <c r="D14" s="466">
        <v>0</v>
      </c>
      <c r="E14" s="466">
        <v>0</v>
      </c>
      <c r="F14" s="466">
        <v>0</v>
      </c>
      <c r="G14" s="466">
        <v>0</v>
      </c>
      <c r="H14" s="466">
        <v>0</v>
      </c>
      <c r="I14" s="466">
        <v>11</v>
      </c>
      <c r="J14" s="466">
        <v>11</v>
      </c>
      <c r="K14" s="466">
        <v>22</v>
      </c>
      <c r="L14" s="466">
        <v>11</v>
      </c>
      <c r="M14" s="466">
        <v>11</v>
      </c>
      <c r="N14" s="924">
        <v>11</v>
      </c>
      <c r="O14" s="58"/>
      <c r="P14" s="56" t="str">
        <f>IF(Contents!$B$2=2,"Yes","Да")</f>
        <v>Да</v>
      </c>
      <c r="R14" s="297"/>
      <c r="S14" s="56"/>
      <c r="T14" s="56"/>
      <c r="U14" s="297" t="str">
        <f>IF(Contents!$B$2=2,"PBCS 49","СОКБ 49")</f>
        <v>СОКБ 49</v>
      </c>
      <c r="V14" s="56"/>
      <c r="W14" s="56">
        <v>1</v>
      </c>
      <c r="X14" s="56"/>
      <c r="Y14" s="56"/>
    </row>
    <row r="15" spans="1:25" ht="18">
      <c r="B15" s="23" t="str">
        <f>IF(Contents!$B$2=2,"by age","по возрасту")</f>
        <v>по возрасту</v>
      </c>
      <c r="C15" s="77"/>
      <c r="D15" s="446"/>
      <c r="E15" s="446"/>
      <c r="F15" s="446"/>
      <c r="G15" s="446"/>
      <c r="H15" s="446"/>
      <c r="I15" s="722"/>
      <c r="J15" s="721"/>
      <c r="K15" s="721"/>
      <c r="L15" s="721"/>
      <c r="M15" s="721"/>
      <c r="N15" s="721"/>
      <c r="O15" s="58"/>
      <c r="P15" s="56"/>
      <c r="R15" s="297"/>
      <c r="S15" s="56"/>
      <c r="T15" s="56"/>
      <c r="U15" s="297"/>
      <c r="V15" s="56"/>
      <c r="W15" s="56"/>
      <c r="X15" s="56"/>
      <c r="Y15" s="56"/>
    </row>
    <row r="16" spans="1:25" ht="18">
      <c r="B16" s="177" t="str">
        <f>IF(Contents!$B$2=2,"Under 30","Младше 30")</f>
        <v>Младше 30</v>
      </c>
      <c r="C16" s="103" t="str">
        <f>IF(Contents!$B$2=2,"people"," человек")</f>
        <v xml:space="preserve"> человек</v>
      </c>
      <c r="D16" s="466" t="s">
        <v>185</v>
      </c>
      <c r="E16" s="466" t="s">
        <v>185</v>
      </c>
      <c r="F16" s="466" t="s">
        <v>185</v>
      </c>
      <c r="G16" s="466" t="s">
        <v>185</v>
      </c>
      <c r="H16" s="466" t="s">
        <v>185</v>
      </c>
      <c r="I16" s="466" t="s">
        <v>185</v>
      </c>
      <c r="J16" s="466" t="s">
        <v>185</v>
      </c>
      <c r="K16" s="466" t="s">
        <v>185</v>
      </c>
      <c r="L16" s="466">
        <v>0</v>
      </c>
      <c r="M16" s="466">
        <v>0</v>
      </c>
      <c r="N16" s="924">
        <v>0</v>
      </c>
      <c r="O16" s="58"/>
      <c r="P16" s="56"/>
      <c r="R16" s="297"/>
      <c r="S16" s="56"/>
      <c r="T16" s="56"/>
      <c r="U16" s="60"/>
      <c r="V16" s="56"/>
      <c r="W16" s="56"/>
      <c r="X16" s="56"/>
      <c r="Y16" s="56"/>
    </row>
    <row r="17" spans="1:25" ht="18">
      <c r="B17" s="177" t="str">
        <f>IF(Contents!$B$2=2,"30-50 years old","30-50")</f>
        <v>30-50</v>
      </c>
      <c r="C17" s="103" t="str">
        <f>IF(Contents!$B$2=2,"people"," человек")</f>
        <v xml:space="preserve"> человек</v>
      </c>
      <c r="D17" s="466" t="s">
        <v>185</v>
      </c>
      <c r="E17" s="466" t="s">
        <v>185</v>
      </c>
      <c r="F17" s="466" t="s">
        <v>185</v>
      </c>
      <c r="G17" s="466" t="s">
        <v>185</v>
      </c>
      <c r="H17" s="466" t="s">
        <v>185</v>
      </c>
      <c r="I17" s="466" t="s">
        <v>185</v>
      </c>
      <c r="J17" s="466" t="s">
        <v>185</v>
      </c>
      <c r="K17" s="466" t="s">
        <v>185</v>
      </c>
      <c r="L17" s="466">
        <v>2</v>
      </c>
      <c r="M17" s="466">
        <v>2</v>
      </c>
      <c r="N17" s="924">
        <v>2</v>
      </c>
      <c r="O17" s="58"/>
      <c r="P17" s="56"/>
      <c r="R17" s="297"/>
      <c r="S17" s="56"/>
      <c r="T17" s="56"/>
      <c r="U17" s="60"/>
      <c r="V17" s="56"/>
      <c r="W17" s="56"/>
      <c r="X17" s="56"/>
      <c r="Y17" s="56"/>
    </row>
    <row r="18" spans="1:25" ht="18">
      <c r="B18" s="177" t="str">
        <f>IF(Contents!$B$2=2,"Over 50 years old","Старше 50")</f>
        <v>Старше 50</v>
      </c>
      <c r="C18" s="103" t="str">
        <f>IF(Contents!$B$2=2,"people"," человек")</f>
        <v xml:space="preserve"> человек</v>
      </c>
      <c r="D18" s="466" t="s">
        <v>185</v>
      </c>
      <c r="E18" s="466" t="s">
        <v>185</v>
      </c>
      <c r="F18" s="466" t="s">
        <v>185</v>
      </c>
      <c r="G18" s="466" t="s">
        <v>185</v>
      </c>
      <c r="H18" s="466" t="s">
        <v>185</v>
      </c>
      <c r="I18" s="466" t="s">
        <v>185</v>
      </c>
      <c r="J18" s="466" t="s">
        <v>185</v>
      </c>
      <c r="K18" s="466" t="s">
        <v>185</v>
      </c>
      <c r="L18" s="466">
        <v>7</v>
      </c>
      <c r="M18" s="466">
        <v>7</v>
      </c>
      <c r="N18" s="924">
        <v>7</v>
      </c>
      <c r="O18" s="58"/>
      <c r="P18" s="56"/>
      <c r="R18" s="297"/>
      <c r="S18" s="56"/>
      <c r="T18" s="56"/>
      <c r="U18" s="60"/>
      <c r="V18" s="56"/>
      <c r="W18" s="56"/>
      <c r="X18" s="56"/>
      <c r="Y18" s="56"/>
    </row>
    <row r="19" spans="1:25" ht="18">
      <c r="B19" s="23" t="str">
        <f>IF(Contents!$B$2=2,"Other indicators of diversity","по другим характеристикам")</f>
        <v>по другим характеристикам</v>
      </c>
      <c r="C19" s="77"/>
      <c r="D19" s="446"/>
      <c r="E19" s="446"/>
      <c r="F19" s="446"/>
      <c r="G19" s="446"/>
      <c r="H19" s="446"/>
      <c r="I19" s="722"/>
      <c r="J19" s="721"/>
      <c r="K19" s="721"/>
      <c r="L19" s="721"/>
      <c r="M19" s="721"/>
      <c r="N19" s="721"/>
      <c r="O19" s="58"/>
      <c r="P19" s="56"/>
      <c r="R19" s="297"/>
      <c r="S19" s="56"/>
      <c r="T19" s="56"/>
      <c r="U19" s="60"/>
      <c r="V19" s="56"/>
      <c r="W19" s="56"/>
      <c r="X19" s="56"/>
      <c r="Y19" s="56"/>
    </row>
    <row r="20" spans="1:25">
      <c r="A20" s="692"/>
      <c r="B20" s="177" t="str">
        <f>IF(Contents!$B$2=2,"Independent directors at the Board of Directors","Независимые директора в Совете директоров")</f>
        <v>Независимые директора в Совете директоров</v>
      </c>
      <c r="C20" s="103" t="str">
        <f>IF(Contents!$B$2=2,"people"," человек")</f>
        <v xml:space="preserve"> человек</v>
      </c>
      <c r="D20" s="466">
        <v>3</v>
      </c>
      <c r="E20" s="466">
        <v>3</v>
      </c>
      <c r="F20" s="466">
        <v>3</v>
      </c>
      <c r="G20" s="466">
        <v>3</v>
      </c>
      <c r="H20" s="466">
        <v>3</v>
      </c>
      <c r="I20" s="101">
        <v>3</v>
      </c>
      <c r="J20" s="101">
        <v>3</v>
      </c>
      <c r="K20" s="101">
        <v>3</v>
      </c>
      <c r="L20" s="101">
        <v>5</v>
      </c>
      <c r="M20" s="101">
        <v>5</v>
      </c>
      <c r="N20" s="204">
        <v>5</v>
      </c>
      <c r="O20" s="59"/>
      <c r="P20" s="56" t="str">
        <f>IF(Contents!$B$2=2,"Yes","Да")</f>
        <v>Да</v>
      </c>
      <c r="R20" s="297"/>
      <c r="S20" s="56"/>
      <c r="T20" s="60"/>
      <c r="V20" s="56"/>
      <c r="W20" s="56">
        <v>1</v>
      </c>
      <c r="X20" s="56"/>
      <c r="Y20" s="56"/>
    </row>
    <row r="21" spans="1:25">
      <c r="A21" s="692"/>
      <c r="B21" s="211" t="str">
        <f>IF(Contents!$B$2=2,"Percentage of Independent directors in the Board of Directors","Доля независимых членов в Совете директоров")</f>
        <v>Доля независимых членов в Совете директоров</v>
      </c>
      <c r="C21" s="103" t="s">
        <v>0</v>
      </c>
      <c r="D21" s="466">
        <v>33</v>
      </c>
      <c r="E21" s="466">
        <v>33</v>
      </c>
      <c r="F21" s="466">
        <v>33</v>
      </c>
      <c r="G21" s="466">
        <v>33</v>
      </c>
      <c r="H21" s="466">
        <v>33</v>
      </c>
      <c r="I21" s="466">
        <v>33</v>
      </c>
      <c r="J21" s="466">
        <v>33</v>
      </c>
      <c r="K21" s="466">
        <v>33</v>
      </c>
      <c r="L21" s="466">
        <v>56</v>
      </c>
      <c r="M21" s="466">
        <v>56</v>
      </c>
      <c r="N21" s="924">
        <v>56</v>
      </c>
      <c r="O21" s="59"/>
      <c r="P21" s="56" t="str">
        <f>IF(Contents!$B$2=2,"Yes","Да")</f>
        <v>Да</v>
      </c>
      <c r="R21" s="297"/>
      <c r="S21" s="56"/>
      <c r="T21" s="60"/>
      <c r="U21" s="297" t="str">
        <f>IF(Contents!$B$2=2,"PBCS 48","СОКБ 48")</f>
        <v>СОКБ 48</v>
      </c>
      <c r="V21" s="56"/>
      <c r="W21" s="56">
        <v>1</v>
      </c>
      <c r="X21" s="56"/>
      <c r="Y21" s="56"/>
    </row>
    <row r="22" spans="1:25" ht="18">
      <c r="A22" s="692"/>
      <c r="B22" s="177"/>
      <c r="C22" s="103"/>
      <c r="D22" s="466"/>
      <c r="E22" s="466"/>
      <c r="F22" s="466"/>
      <c r="G22" s="466"/>
      <c r="H22" s="466"/>
      <c r="I22" s="101"/>
      <c r="J22" s="101"/>
      <c r="K22" s="101"/>
      <c r="L22" s="101"/>
      <c r="M22" s="825"/>
      <c r="N22" s="63"/>
      <c r="O22" s="59"/>
      <c r="P22" s="56"/>
      <c r="Q22" s="59"/>
      <c r="R22" s="297"/>
      <c r="S22" s="56"/>
      <c r="T22" s="60"/>
      <c r="U22" s="56"/>
      <c r="V22" s="56"/>
      <c r="W22" s="56"/>
      <c r="X22" s="56"/>
      <c r="Y22" s="56"/>
    </row>
    <row r="23" spans="1:25" ht="18">
      <c r="A23" s="692"/>
      <c r="B23" s="25" t="str">
        <f>IF(Contents!$B$2=2,"Notes:","Примечания:")</f>
        <v>Примечания:</v>
      </c>
      <c r="C23" s="294"/>
      <c r="D23" s="294"/>
      <c r="E23" s="294"/>
      <c r="F23" s="294"/>
      <c r="G23" s="294"/>
      <c r="H23" s="294"/>
      <c r="I23" s="294"/>
      <c r="J23" s="294"/>
      <c r="K23" s="294"/>
      <c r="L23" s="294"/>
      <c r="M23" s="294"/>
      <c r="N23" s="294"/>
      <c r="O23" s="59"/>
      <c r="P23" s="56"/>
      <c r="Q23" s="59"/>
      <c r="R23" s="297"/>
      <c r="S23" s="56"/>
      <c r="T23" s="60"/>
      <c r="U23" s="56"/>
      <c r="V23" s="56"/>
      <c r="W23" s="56"/>
      <c r="X23" s="56"/>
      <c r="Y23" s="56"/>
    </row>
    <row r="24" spans="1:25" ht="18">
      <c r="A24" s="692"/>
      <c r="B24" s="944" t="str">
        <f>IF(Contents!$B$2=2,"The composition of the Board of Directors is given as of December 31, 2025.","Cостав Совета директоров приведен по состоянию на 31 декабря 2025.")</f>
        <v>Cостав Совета директоров приведен по состоянию на 31 декабря 2025.</v>
      </c>
      <c r="C24" s="944"/>
      <c r="D24" s="944"/>
      <c r="E24" s="944"/>
      <c r="F24" s="944"/>
      <c r="G24" s="944"/>
      <c r="H24" s="944"/>
      <c r="I24" s="944"/>
      <c r="J24" s="944"/>
      <c r="K24" s="944"/>
      <c r="L24" s="944"/>
      <c r="M24" s="944"/>
      <c r="N24" s="65"/>
      <c r="O24" s="59"/>
      <c r="P24" s="56"/>
      <c r="Q24" s="59"/>
      <c r="R24" s="297"/>
      <c r="S24" s="56"/>
      <c r="T24" s="60"/>
      <c r="U24" s="56"/>
      <c r="V24" s="56"/>
      <c r="W24" s="56"/>
      <c r="X24" s="56"/>
      <c r="Y24" s="56"/>
    </row>
    <row r="25" spans="1:25" ht="18">
      <c r="B25" s="468"/>
      <c r="C25" s="469"/>
      <c r="D25" s="235"/>
      <c r="E25" s="235"/>
      <c r="F25" s="235"/>
      <c r="G25" s="235"/>
      <c r="H25" s="235"/>
      <c r="I25" s="112"/>
      <c r="J25" s="235"/>
      <c r="K25" s="235"/>
      <c r="L25" s="235"/>
      <c r="M25" s="64"/>
      <c r="N25" s="64"/>
      <c r="O25" s="470"/>
      <c r="P25" s="56"/>
      <c r="Q25" s="470"/>
      <c r="R25" s="297"/>
      <c r="S25" s="56"/>
      <c r="T25" s="60"/>
      <c r="U25" s="714"/>
      <c r="V25" s="56"/>
      <c r="W25" s="56"/>
      <c r="X25" s="56"/>
      <c r="Y25" s="56"/>
    </row>
    <row r="26" spans="1:25" ht="20.100000000000001" customHeight="1">
      <c r="A26" s="692"/>
      <c r="B26" s="18" t="str">
        <f>IF(Contents!$B$2=2,"Board of Directors Committees","Комитеты совета директоров")</f>
        <v>Комитеты совета директоров</v>
      </c>
      <c r="C26" s="45"/>
      <c r="D26" s="719"/>
      <c r="E26" s="719"/>
      <c r="F26" s="719"/>
      <c r="G26" s="719"/>
      <c r="H26" s="719"/>
      <c r="I26" s="719"/>
      <c r="J26" s="719"/>
      <c r="K26" s="719"/>
      <c r="L26" s="719"/>
      <c r="M26" s="719"/>
      <c r="N26" s="719"/>
      <c r="O26" s="470"/>
      <c r="P26" s="56"/>
      <c r="Q26" s="470"/>
      <c r="R26" s="718"/>
      <c r="S26" s="717"/>
      <c r="T26" s="717"/>
      <c r="U26" s="717"/>
      <c r="V26" s="56"/>
      <c r="W26" s="56"/>
      <c r="X26" s="56"/>
      <c r="Y26" s="56"/>
    </row>
    <row r="27" spans="1:25" ht="25.5">
      <c r="B27" s="443" t="str">
        <f>IF(Contents!$B$2=2,"Audit committee","Комитет по аудиту")</f>
        <v>Комитет по аудиту</v>
      </c>
      <c r="C27" s="444"/>
      <c r="D27" s="296"/>
      <c r="E27" s="296"/>
      <c r="F27" s="296"/>
      <c r="G27" s="296"/>
      <c r="H27" s="296"/>
      <c r="I27" s="296"/>
      <c r="J27" s="296"/>
      <c r="K27" s="296"/>
      <c r="L27" s="296"/>
      <c r="M27" s="296"/>
      <c r="N27" s="296"/>
      <c r="O27" s="470"/>
      <c r="P27" s="56"/>
      <c r="Q27" s="470"/>
      <c r="R27" s="465" t="s">
        <v>170</v>
      </c>
      <c r="S27" s="71"/>
      <c r="T27" s="71" t="s">
        <v>163</v>
      </c>
      <c r="U27" s="71"/>
      <c r="V27" s="56"/>
      <c r="W27" s="56">
        <v>1</v>
      </c>
      <c r="X27" s="56"/>
      <c r="Y27" s="56"/>
    </row>
    <row r="28" spans="1:25" ht="18">
      <c r="A28" s="692"/>
      <c r="B28" s="409" t="str">
        <f>IF(Contents!$B$2=2,"Number of members","Количество членов")</f>
        <v>Количество членов</v>
      </c>
      <c r="C28" s="103" t="str">
        <f>IF(Contents!$B$2=2,"people"," человек")</f>
        <v xml:space="preserve"> человек</v>
      </c>
      <c r="D28" s="235">
        <v>3</v>
      </c>
      <c r="E28" s="235">
        <v>3</v>
      </c>
      <c r="F28" s="235">
        <v>3</v>
      </c>
      <c r="G28" s="235">
        <v>3</v>
      </c>
      <c r="H28" s="235">
        <v>3</v>
      </c>
      <c r="I28" s="112">
        <v>3</v>
      </c>
      <c r="J28" s="112">
        <v>3</v>
      </c>
      <c r="K28" s="112">
        <v>3</v>
      </c>
      <c r="L28" s="112">
        <v>5</v>
      </c>
      <c r="M28" s="112">
        <v>5</v>
      </c>
      <c r="N28" s="906">
        <v>4</v>
      </c>
      <c r="O28" s="64"/>
      <c r="P28" s="56" t="str">
        <f>IF(Contents!$B$2=2,"Yes","Да")</f>
        <v>Да</v>
      </c>
      <c r="Q28" s="64"/>
      <c r="R28" s="297"/>
      <c r="S28" s="56"/>
      <c r="T28" s="60"/>
      <c r="U28" s="56"/>
      <c r="V28" s="56"/>
      <c r="W28" s="56"/>
      <c r="X28" s="56"/>
      <c r="Y28" s="56"/>
    </row>
    <row r="29" spans="1:25" ht="18">
      <c r="B29" s="467" t="str">
        <f>IF(Contents!$B$2=2,"Number of meetings held","Количество проведенных заседаний")</f>
        <v>Количество проведенных заседаний</v>
      </c>
      <c r="C29" s="12" t="str">
        <f>IF(Contents!$B$2=2,"unit","ед.")</f>
        <v>ед.</v>
      </c>
      <c r="D29" s="235">
        <v>5</v>
      </c>
      <c r="E29" s="235">
        <v>4</v>
      </c>
      <c r="F29" s="235">
        <v>4</v>
      </c>
      <c r="G29" s="235">
        <v>5</v>
      </c>
      <c r="H29" s="235">
        <v>4</v>
      </c>
      <c r="I29" s="112">
        <v>4</v>
      </c>
      <c r="J29" s="112">
        <v>4</v>
      </c>
      <c r="K29" s="112">
        <v>5</v>
      </c>
      <c r="L29" s="112">
        <v>6</v>
      </c>
      <c r="M29" s="112">
        <v>7</v>
      </c>
      <c r="N29" s="906">
        <v>4</v>
      </c>
      <c r="P29" s="56"/>
      <c r="R29" s="726"/>
      <c r="S29" s="56"/>
      <c r="T29" s="725"/>
      <c r="U29" s="714"/>
      <c r="V29" s="56"/>
      <c r="W29" s="56"/>
      <c r="X29" s="56"/>
      <c r="Y29" s="56"/>
    </row>
    <row r="30" spans="1:25" ht="18">
      <c r="A30" s="731"/>
      <c r="B30" s="468"/>
      <c r="C30" s="103"/>
      <c r="D30" s="235"/>
      <c r="E30" s="235"/>
      <c r="F30" s="235"/>
      <c r="G30" s="235"/>
      <c r="H30" s="235"/>
      <c r="I30" s="112"/>
      <c r="J30" s="112"/>
      <c r="K30" s="112"/>
      <c r="L30" s="112"/>
      <c r="M30" s="112"/>
      <c r="N30" s="112"/>
      <c r="P30" s="56"/>
      <c r="R30" s="297"/>
      <c r="S30" s="56"/>
      <c r="T30" s="60"/>
      <c r="U30" s="714"/>
      <c r="V30" s="56"/>
      <c r="W30" s="56"/>
      <c r="X30" s="56"/>
      <c r="Y30" s="56"/>
    </row>
    <row r="31" spans="1:25" ht="25.5">
      <c r="B31" s="443" t="str">
        <f>IF(Contents!$B$2=2,"Strategy committee","Комитет по стратегии")</f>
        <v>Комитет по стратегии</v>
      </c>
      <c r="C31" s="444"/>
      <c r="D31" s="296"/>
      <c r="E31" s="296"/>
      <c r="F31" s="296"/>
      <c r="G31" s="296"/>
      <c r="H31" s="296"/>
      <c r="I31" s="296"/>
      <c r="J31" s="296"/>
      <c r="K31" s="296"/>
      <c r="L31" s="296"/>
      <c r="M31" s="296"/>
      <c r="N31" s="296"/>
      <c r="P31" s="56"/>
      <c r="R31" s="465" t="s">
        <v>170</v>
      </c>
      <c r="S31" s="71"/>
      <c r="T31" s="71" t="s">
        <v>163</v>
      </c>
      <c r="U31" s="71"/>
      <c r="V31" s="56"/>
      <c r="W31" s="56">
        <v>1</v>
      </c>
      <c r="X31" s="56"/>
      <c r="Y31" s="56"/>
    </row>
    <row r="32" spans="1:25" ht="18">
      <c r="A32" s="731"/>
      <c r="B32" s="409" t="str">
        <f>IF(Contents!$B$2=2,"Number of members","Количество членов")</f>
        <v>Количество членов</v>
      </c>
      <c r="C32" s="103" t="str">
        <f>IF(Contents!$B$2=2,"people"," человек")</f>
        <v xml:space="preserve"> человек</v>
      </c>
      <c r="D32" s="235">
        <v>5</v>
      </c>
      <c r="E32" s="235">
        <v>5</v>
      </c>
      <c r="F32" s="235">
        <v>5</v>
      </c>
      <c r="G32" s="235">
        <v>5</v>
      </c>
      <c r="H32" s="235">
        <v>6</v>
      </c>
      <c r="I32" s="112">
        <v>6</v>
      </c>
      <c r="J32" s="112">
        <v>6</v>
      </c>
      <c r="K32" s="112">
        <v>6</v>
      </c>
      <c r="L32" s="112">
        <v>5</v>
      </c>
      <c r="M32" s="112">
        <v>5</v>
      </c>
      <c r="N32" s="906">
        <v>6</v>
      </c>
      <c r="P32" s="56" t="str">
        <f>IF(Contents!$B$2=2,"Yes","Да")</f>
        <v>Да</v>
      </c>
      <c r="R32" s="297"/>
      <c r="S32" s="56"/>
      <c r="T32" s="60"/>
      <c r="U32" s="56"/>
      <c r="V32" s="56"/>
      <c r="W32" s="56"/>
      <c r="X32" s="56"/>
      <c r="Y32" s="56"/>
    </row>
    <row r="33" spans="1:25" ht="18">
      <c r="A33" s="692"/>
      <c r="B33" s="467" t="str">
        <f>IF(Contents!$B$2=2,"Number of meetings held","Количество проведенных заседаний")</f>
        <v>Количество проведенных заседаний</v>
      </c>
      <c r="C33" s="12" t="str">
        <f>IF(Contents!$B$2=2,"unit","ед.")</f>
        <v>ед.</v>
      </c>
      <c r="D33" s="235">
        <v>4</v>
      </c>
      <c r="E33" s="235">
        <v>4</v>
      </c>
      <c r="F33" s="235">
        <v>3</v>
      </c>
      <c r="G33" s="235">
        <v>5</v>
      </c>
      <c r="H33" s="235">
        <v>4</v>
      </c>
      <c r="I33" s="112">
        <v>4</v>
      </c>
      <c r="J33" s="112">
        <v>4</v>
      </c>
      <c r="K33" s="112">
        <v>4</v>
      </c>
      <c r="L33" s="112">
        <v>4</v>
      </c>
      <c r="M33" s="112">
        <v>4</v>
      </c>
      <c r="N33" s="906">
        <v>4</v>
      </c>
      <c r="P33" s="56"/>
      <c r="R33" s="471"/>
      <c r="S33" s="472"/>
      <c r="T33" s="472"/>
      <c r="U33" s="472"/>
      <c r="V33" s="56"/>
      <c r="W33" s="56"/>
      <c r="X33" s="56"/>
      <c r="Y33" s="56"/>
    </row>
    <row r="34" spans="1:25" ht="18">
      <c r="B34" s="468"/>
      <c r="C34" s="103"/>
      <c r="D34" s="235"/>
      <c r="E34" s="235"/>
      <c r="F34" s="235"/>
      <c r="G34" s="235"/>
      <c r="H34" s="235"/>
      <c r="I34" s="112"/>
      <c r="J34" s="112"/>
      <c r="K34" s="112"/>
      <c r="L34" s="112"/>
      <c r="M34" s="112"/>
      <c r="N34" s="112"/>
      <c r="P34" s="56"/>
      <c r="R34" s="726"/>
      <c r="S34" s="714"/>
      <c r="T34" s="725"/>
      <c r="U34" s="714"/>
      <c r="V34" s="56"/>
      <c r="W34" s="56"/>
      <c r="X34" s="56"/>
      <c r="Y34" s="56"/>
    </row>
    <row r="35" spans="1:25" ht="25.5">
      <c r="B35" s="443" t="str">
        <f>IF(Contents!$B$2=2,"Remuneration and Nomination committee","Комитет по вознаграждениям и номинациям")</f>
        <v>Комитет по вознаграждениям и номинациям</v>
      </c>
      <c r="C35" s="444"/>
      <c r="D35" s="296"/>
      <c r="E35" s="296"/>
      <c r="F35" s="296"/>
      <c r="G35" s="296"/>
      <c r="H35" s="296"/>
      <c r="I35" s="296"/>
      <c r="J35" s="296"/>
      <c r="K35" s="296"/>
      <c r="L35" s="296"/>
      <c r="M35" s="296"/>
      <c r="N35" s="296"/>
      <c r="P35" s="56"/>
      <c r="R35" s="465" t="s">
        <v>170</v>
      </c>
      <c r="S35" s="71"/>
      <c r="T35" s="71" t="s">
        <v>163</v>
      </c>
      <c r="U35" s="71"/>
      <c r="V35" s="56"/>
      <c r="W35" s="56">
        <v>1</v>
      </c>
      <c r="X35" s="56"/>
      <c r="Y35" s="56"/>
    </row>
    <row r="36" spans="1:25" ht="18">
      <c r="A36" s="731"/>
      <c r="B36" s="409" t="str">
        <f>IF(Contents!$B$2=2,"Number of members","Количество членов")</f>
        <v>Количество членов</v>
      </c>
      <c r="C36" s="103" t="str">
        <f>IF(Contents!$B$2=2,"people"," человек")</f>
        <v xml:space="preserve"> человек</v>
      </c>
      <c r="D36" s="235">
        <v>3</v>
      </c>
      <c r="E36" s="235">
        <v>3</v>
      </c>
      <c r="F36" s="235">
        <v>3</v>
      </c>
      <c r="G36" s="235">
        <v>3</v>
      </c>
      <c r="H36" s="235">
        <v>3</v>
      </c>
      <c r="I36" s="112">
        <v>3</v>
      </c>
      <c r="J36" s="112">
        <v>3</v>
      </c>
      <c r="K36" s="112">
        <v>3</v>
      </c>
      <c r="L36" s="112">
        <v>5</v>
      </c>
      <c r="M36" s="112">
        <v>5</v>
      </c>
      <c r="N36" s="906">
        <v>4</v>
      </c>
      <c r="P36" s="56" t="str">
        <f>IF(Contents!$B$2=2,"Yes","Да")</f>
        <v>Да</v>
      </c>
      <c r="R36" s="297"/>
      <c r="S36" s="56"/>
      <c r="T36" s="60"/>
      <c r="U36" s="56"/>
      <c r="V36" s="56"/>
      <c r="W36" s="56"/>
      <c r="X36" s="56"/>
      <c r="Y36" s="56"/>
    </row>
    <row r="37" spans="1:25" ht="18">
      <c r="A37" s="692"/>
      <c r="B37" s="467" t="str">
        <f>IF(Contents!$B$2=2,"Number of meetings held","Количество проведенных заседаний")</f>
        <v>Количество проведенных заседаний</v>
      </c>
      <c r="C37" s="12" t="str">
        <f>IF(Contents!$B$2=2,"unit","ед.")</f>
        <v>ед.</v>
      </c>
      <c r="D37" s="235">
        <v>4</v>
      </c>
      <c r="E37" s="235">
        <v>4</v>
      </c>
      <c r="F37" s="235">
        <v>4</v>
      </c>
      <c r="G37" s="235">
        <v>6</v>
      </c>
      <c r="H37" s="235">
        <v>4</v>
      </c>
      <c r="I37" s="112">
        <v>7</v>
      </c>
      <c r="J37" s="112">
        <v>5</v>
      </c>
      <c r="K37" s="112">
        <v>6</v>
      </c>
      <c r="L37" s="112">
        <v>5</v>
      </c>
      <c r="M37" s="112">
        <v>6</v>
      </c>
      <c r="N37" s="906">
        <v>5</v>
      </c>
      <c r="P37" s="56"/>
      <c r="R37" s="471"/>
      <c r="S37" s="472"/>
      <c r="T37" s="472"/>
      <c r="U37" s="472"/>
      <c r="V37" s="56"/>
      <c r="W37" s="56"/>
      <c r="X37" s="56"/>
      <c r="Y37" s="56"/>
    </row>
    <row r="38" spans="1:25" ht="18">
      <c r="B38" s="468"/>
      <c r="C38" s="103"/>
      <c r="D38" s="235"/>
      <c r="E38" s="235"/>
      <c r="F38" s="235"/>
      <c r="G38" s="235"/>
      <c r="H38" s="235"/>
      <c r="I38" s="112"/>
      <c r="J38" s="112"/>
      <c r="K38" s="112"/>
      <c r="L38" s="112"/>
      <c r="M38" s="112"/>
      <c r="N38" s="112"/>
      <c r="P38" s="56"/>
      <c r="R38" s="715"/>
      <c r="S38" s="71"/>
      <c r="T38" s="71"/>
      <c r="U38" s="71"/>
      <c r="V38" s="56"/>
      <c r="W38" s="56"/>
      <c r="X38" s="56"/>
      <c r="Y38" s="56"/>
    </row>
    <row r="39" spans="1:25" ht="25.5">
      <c r="B39" s="443" t="str">
        <f>IF(Contents!$B$2=2,"Subcommittee on Climate and Alternative Energy","Подкомитет по климату и альтернативной энергетике при Комитете по стратегии")</f>
        <v>Подкомитет по климату и альтернативной энергетике при Комитете по стратегии</v>
      </c>
      <c r="C39" s="444"/>
      <c r="D39" s="296"/>
      <c r="E39" s="296"/>
      <c r="F39" s="296"/>
      <c r="G39" s="296"/>
      <c r="H39" s="296"/>
      <c r="I39" s="296"/>
      <c r="J39" s="296"/>
      <c r="K39" s="296"/>
      <c r="L39" s="296"/>
      <c r="M39" s="296"/>
      <c r="N39" s="296"/>
      <c r="P39" s="56"/>
      <c r="R39" s="465" t="s">
        <v>170</v>
      </c>
      <c r="S39" s="71"/>
      <c r="T39" s="71" t="s">
        <v>163</v>
      </c>
      <c r="U39" s="71"/>
      <c r="V39" s="56"/>
      <c r="W39" s="56">
        <v>1</v>
      </c>
      <c r="X39" s="56"/>
      <c r="Y39" s="56"/>
    </row>
    <row r="40" spans="1:25" ht="18">
      <c r="A40" s="731"/>
      <c r="B40" s="409" t="str">
        <f>IF(Contents!$B$2=2,"Number of members","Количество членов")</f>
        <v>Количество членов</v>
      </c>
      <c r="C40" s="103" t="str">
        <f>IF(Contents!$B$2=2,"people"," человек")</f>
        <v xml:space="preserve"> человек</v>
      </c>
      <c r="D40" s="235" t="s">
        <v>185</v>
      </c>
      <c r="E40" s="235" t="s">
        <v>185</v>
      </c>
      <c r="F40" s="235" t="s">
        <v>185</v>
      </c>
      <c r="G40" s="235" t="s">
        <v>185</v>
      </c>
      <c r="H40" s="235" t="s">
        <v>185</v>
      </c>
      <c r="I40" s="112" t="s">
        <v>185</v>
      </c>
      <c r="J40" s="112">
        <v>6</v>
      </c>
      <c r="K40" s="112">
        <v>6</v>
      </c>
      <c r="L40" s="112">
        <v>5</v>
      </c>
      <c r="M40" s="112">
        <v>6</v>
      </c>
      <c r="N40" s="906">
        <v>5</v>
      </c>
      <c r="P40" s="56" t="str">
        <f>IF(Contents!$B$2=2,"Yes","Да")</f>
        <v>Да</v>
      </c>
      <c r="R40" s="297"/>
      <c r="S40" s="56"/>
      <c r="T40" s="60"/>
      <c r="U40" s="56"/>
      <c r="V40" s="56"/>
      <c r="W40" s="56"/>
      <c r="X40" s="56"/>
      <c r="Y40" s="56"/>
    </row>
    <row r="41" spans="1:25" ht="18">
      <c r="B41" s="467" t="str">
        <f>IF(Contents!$B$2=2,"Number of meetings held","Количество проведенных заседаний")</f>
        <v>Количество проведенных заседаний</v>
      </c>
      <c r="C41" s="12" t="str">
        <f>IF(Contents!$B$2=2,"unit","ед.")</f>
        <v>ед.</v>
      </c>
      <c r="D41" s="235" t="s">
        <v>185</v>
      </c>
      <c r="E41" s="235" t="s">
        <v>185</v>
      </c>
      <c r="F41" s="235" t="s">
        <v>185</v>
      </c>
      <c r="G41" s="235" t="s">
        <v>185</v>
      </c>
      <c r="H41" s="235" t="s">
        <v>185</v>
      </c>
      <c r="I41" s="112" t="s">
        <v>185</v>
      </c>
      <c r="J41" s="112">
        <v>5</v>
      </c>
      <c r="K41" s="112">
        <v>4</v>
      </c>
      <c r="L41" s="112">
        <v>5</v>
      </c>
      <c r="M41" s="112">
        <v>5</v>
      </c>
      <c r="N41" s="906">
        <v>3</v>
      </c>
      <c r="P41" s="56"/>
      <c r="R41" s="471"/>
      <c r="S41" s="472"/>
      <c r="T41" s="472"/>
      <c r="U41" s="472"/>
      <c r="V41" s="56"/>
      <c r="W41" s="56"/>
      <c r="X41" s="56"/>
      <c r="Y41" s="56"/>
    </row>
    <row r="42" spans="1:25" ht="18">
      <c r="B42" s="468"/>
      <c r="C42" s="469"/>
      <c r="D42" s="235"/>
      <c r="E42" s="235"/>
      <c r="F42" s="235"/>
      <c r="G42" s="235"/>
      <c r="H42" s="235"/>
      <c r="I42" s="235"/>
      <c r="J42" s="235"/>
      <c r="K42" s="235"/>
      <c r="L42" s="235"/>
      <c r="M42" s="58"/>
      <c r="N42" s="58"/>
      <c r="P42" s="56"/>
      <c r="R42" s="297"/>
      <c r="S42" s="56"/>
      <c r="T42" s="60"/>
      <c r="U42" s="56"/>
      <c r="V42" s="56"/>
      <c r="W42" s="56"/>
      <c r="X42" s="56"/>
      <c r="Y42" s="56"/>
    </row>
    <row r="43" spans="1:25" ht="20.100000000000001" customHeight="1">
      <c r="B43" s="473" t="str">
        <f>IF(Contents!$B$2=2,"Management Board","Правление")</f>
        <v>Правление</v>
      </c>
      <c r="C43" s="45"/>
      <c r="D43" s="719"/>
      <c r="E43" s="719"/>
      <c r="F43" s="719"/>
      <c r="G43" s="719"/>
      <c r="H43" s="719"/>
      <c r="I43" s="719"/>
      <c r="J43" s="719"/>
      <c r="K43" s="719"/>
      <c r="L43" s="719"/>
      <c r="M43" s="719"/>
      <c r="N43" s="719"/>
      <c r="P43" s="56"/>
      <c r="R43" s="718"/>
      <c r="S43" s="717"/>
      <c r="T43" s="717"/>
      <c r="U43" s="717"/>
      <c r="V43" s="56"/>
      <c r="W43" s="56"/>
      <c r="X43" s="56"/>
      <c r="Y43" s="56"/>
    </row>
    <row r="44" spans="1:25" ht="25.5">
      <c r="B44" s="443" t="str">
        <f>IF(Contents!$B$2=2,"Composition","Состав")</f>
        <v>Состав</v>
      </c>
      <c r="C44" s="456"/>
      <c r="D44" s="328"/>
      <c r="E44" s="328"/>
      <c r="F44" s="328"/>
      <c r="G44" s="328"/>
      <c r="H44" s="328"/>
      <c r="I44" s="250"/>
      <c r="J44" s="250"/>
      <c r="K44" s="250"/>
      <c r="L44" s="250"/>
      <c r="M44" s="296"/>
      <c r="N44" s="296"/>
      <c r="P44" s="56" t="str">
        <f>IF(Contents!$B$2=2,"Yes","Да")</f>
        <v>Да</v>
      </c>
      <c r="R44" s="465" t="s">
        <v>170</v>
      </c>
      <c r="S44" s="71"/>
      <c r="T44" s="71" t="s">
        <v>163</v>
      </c>
      <c r="U44" s="71"/>
      <c r="V44" s="56"/>
      <c r="W44" s="56">
        <v>1</v>
      </c>
      <c r="X44" s="56"/>
      <c r="Y44" s="56"/>
    </row>
    <row r="45" spans="1:25" ht="18">
      <c r="B45" s="409" t="str">
        <f>IF(Contents!$B$2=2,"Management Board members","Члены Правления")</f>
        <v>Члены Правления</v>
      </c>
      <c r="C45" s="103" t="str">
        <f>IF(Contents!$B$2=2,"people"," человек")</f>
        <v xml:space="preserve"> человек</v>
      </c>
      <c r="D45" s="466">
        <v>9</v>
      </c>
      <c r="E45" s="466">
        <v>12</v>
      </c>
      <c r="F45" s="466">
        <v>11</v>
      </c>
      <c r="G45" s="466">
        <v>11</v>
      </c>
      <c r="H45" s="466">
        <v>13</v>
      </c>
      <c r="I45" s="466">
        <v>14</v>
      </c>
      <c r="J45" s="466">
        <v>13</v>
      </c>
      <c r="K45" s="466">
        <v>12</v>
      </c>
      <c r="L45" s="466">
        <v>12</v>
      </c>
      <c r="M45" s="466">
        <v>15</v>
      </c>
      <c r="N45" s="924">
        <v>14</v>
      </c>
      <c r="P45" s="56"/>
      <c r="R45" s="297"/>
      <c r="S45" s="56"/>
      <c r="T45" s="56"/>
      <c r="U45" s="297"/>
      <c r="V45" s="56"/>
      <c r="W45" s="56"/>
      <c r="X45" s="56"/>
      <c r="Y45" s="56"/>
    </row>
    <row r="46" spans="1:25" ht="18">
      <c r="B46" s="23" t="str">
        <f>IF(Contents!$B$2=2,"by gender","по полу")</f>
        <v>по полу</v>
      </c>
      <c r="C46" s="77"/>
      <c r="D46" s="446"/>
      <c r="E46" s="446"/>
      <c r="F46" s="446"/>
      <c r="G46" s="446"/>
      <c r="H46" s="446"/>
      <c r="I46" s="722"/>
      <c r="J46" s="721"/>
      <c r="K46" s="721"/>
      <c r="L46" s="721"/>
      <c r="M46" s="721"/>
      <c r="N46" s="721"/>
      <c r="P46" s="56"/>
      <c r="R46" s="297"/>
      <c r="S46" s="56"/>
      <c r="T46" s="56"/>
      <c r="U46" s="60"/>
      <c r="V46" s="56"/>
      <c r="W46" s="56"/>
      <c r="X46" s="56"/>
      <c r="Y46" s="56"/>
    </row>
    <row r="47" spans="1:25" ht="18">
      <c r="B47" s="177" t="str">
        <f>IF(Contents!$B$2=2,"Male","Мужчины")</f>
        <v>Мужчины</v>
      </c>
      <c r="C47" s="103" t="str">
        <f>IF(Contents!$B$2=2,"people"," человек")</f>
        <v xml:space="preserve"> человек</v>
      </c>
      <c r="D47" s="466">
        <v>8</v>
      </c>
      <c r="E47" s="466">
        <v>11</v>
      </c>
      <c r="F47" s="466">
        <v>10</v>
      </c>
      <c r="G47" s="466">
        <v>10</v>
      </c>
      <c r="H47" s="466">
        <v>12</v>
      </c>
      <c r="I47" s="101">
        <v>13</v>
      </c>
      <c r="J47" s="101">
        <v>12</v>
      </c>
      <c r="K47" s="101">
        <v>11</v>
      </c>
      <c r="L47" s="101">
        <v>11</v>
      </c>
      <c r="M47" s="101">
        <v>14</v>
      </c>
      <c r="N47" s="204">
        <v>13</v>
      </c>
      <c r="P47" s="56"/>
      <c r="R47" s="297"/>
      <c r="S47" s="56"/>
      <c r="T47" s="56"/>
      <c r="U47" s="299"/>
      <c r="V47" s="56"/>
      <c r="W47" s="56"/>
      <c r="X47" s="56"/>
      <c r="Y47" s="56"/>
    </row>
    <row r="48" spans="1:25" ht="18">
      <c r="B48" s="177" t="str">
        <f>IF(Contents!$B$2=2,"Female","Женщины")</f>
        <v>Женщины</v>
      </c>
      <c r="C48" s="103" t="str">
        <f>IF(Contents!$B$2=2,"people"," человек")</f>
        <v xml:space="preserve"> человек</v>
      </c>
      <c r="D48" s="466">
        <v>1</v>
      </c>
      <c r="E48" s="466">
        <v>1</v>
      </c>
      <c r="F48" s="466">
        <v>1</v>
      </c>
      <c r="G48" s="466">
        <v>1</v>
      </c>
      <c r="H48" s="466">
        <v>1</v>
      </c>
      <c r="I48" s="101">
        <v>1</v>
      </c>
      <c r="J48" s="101">
        <v>1</v>
      </c>
      <c r="K48" s="101">
        <v>1</v>
      </c>
      <c r="L48" s="101">
        <v>1</v>
      </c>
      <c r="M48" s="101">
        <v>1</v>
      </c>
      <c r="N48" s="204">
        <v>1</v>
      </c>
      <c r="P48" s="56"/>
      <c r="R48" s="297"/>
      <c r="S48" s="56"/>
      <c r="T48" s="56"/>
      <c r="U48" s="299"/>
      <c r="V48" s="56"/>
      <c r="W48" s="56"/>
      <c r="X48" s="56"/>
      <c r="Y48" s="56"/>
    </row>
    <row r="49" spans="1:25">
      <c r="B49" s="723" t="str">
        <f>IF(Contents!$B$2=2,"Percentage of Female in the Management Board","Доля женщин в Правлении")</f>
        <v>Доля женщин в Правлении</v>
      </c>
      <c r="C49" s="103" t="s">
        <v>0</v>
      </c>
      <c r="D49" s="466">
        <v>11</v>
      </c>
      <c r="E49" s="466">
        <v>8</v>
      </c>
      <c r="F49" s="466">
        <v>9</v>
      </c>
      <c r="G49" s="466">
        <v>9</v>
      </c>
      <c r="H49" s="466">
        <v>8</v>
      </c>
      <c r="I49" s="466">
        <v>7</v>
      </c>
      <c r="J49" s="466">
        <v>8</v>
      </c>
      <c r="K49" s="466">
        <v>8</v>
      </c>
      <c r="L49" s="466">
        <v>8</v>
      </c>
      <c r="M49" s="466">
        <v>7</v>
      </c>
      <c r="N49" s="924">
        <v>7</v>
      </c>
      <c r="P49" s="56"/>
      <c r="R49" s="297"/>
      <c r="S49" s="56"/>
      <c r="T49" s="56"/>
      <c r="U49" s="297" t="str">
        <f>IF(Contents!$B$2=2,"PBCS 49","СОКБ 49")</f>
        <v>СОКБ 49</v>
      </c>
      <c r="V49" s="56"/>
      <c r="W49" s="56">
        <v>1</v>
      </c>
      <c r="X49" s="56"/>
      <c r="Y49" s="56"/>
    </row>
    <row r="50" spans="1:25" ht="18">
      <c r="A50" s="692"/>
      <c r="B50" s="733"/>
      <c r="C50" s="103"/>
      <c r="D50" s="235"/>
      <c r="E50" s="235"/>
      <c r="F50" s="235"/>
      <c r="G50" s="235"/>
      <c r="H50" s="235"/>
      <c r="I50" s="112"/>
      <c r="J50" s="343"/>
      <c r="K50" s="343"/>
      <c r="L50" s="343"/>
      <c r="M50" s="64"/>
      <c r="N50" s="64"/>
      <c r="P50" s="56"/>
      <c r="R50" s="297"/>
      <c r="S50" s="56"/>
      <c r="T50" s="60"/>
      <c r="U50" s="56"/>
      <c r="V50" s="56"/>
      <c r="W50" s="56"/>
      <c r="X50" s="56"/>
      <c r="Y50" s="56"/>
    </row>
    <row r="51" spans="1:25" ht="20.100000000000001" customHeight="1">
      <c r="A51" s="692"/>
      <c r="B51" s="18" t="str">
        <f>IF(Contents!$B$2=2,"Security hotline","Горячая линия безопасности")</f>
        <v>Горячая линия безопасности</v>
      </c>
      <c r="C51" s="45"/>
      <c r="D51" s="719"/>
      <c r="E51" s="719"/>
      <c r="F51" s="719"/>
      <c r="G51" s="719"/>
      <c r="H51" s="719"/>
      <c r="I51" s="719"/>
      <c r="J51" s="719"/>
      <c r="K51" s="719"/>
      <c r="L51" s="719"/>
      <c r="M51" s="719"/>
      <c r="N51" s="719"/>
      <c r="P51" s="56"/>
      <c r="R51" s="718"/>
      <c r="S51" s="717"/>
      <c r="T51" s="717"/>
      <c r="U51" s="717"/>
      <c r="V51" s="56"/>
      <c r="W51" s="56"/>
      <c r="X51" s="56"/>
      <c r="Y51" s="56"/>
    </row>
    <row r="52" spans="1:25" ht="18">
      <c r="B52" s="443" t="str">
        <f>IF(Contents!$B$2=2,"Number of inquiries","Количество обращений")</f>
        <v>Количество обращений</v>
      </c>
      <c r="C52" s="444"/>
      <c r="D52" s="296"/>
      <c r="E52" s="296"/>
      <c r="F52" s="296"/>
      <c r="G52" s="296"/>
      <c r="H52" s="296"/>
      <c r="I52" s="296"/>
      <c r="J52" s="296"/>
      <c r="K52" s="296"/>
      <c r="L52" s="296"/>
      <c r="M52" s="296"/>
      <c r="N52" s="296"/>
      <c r="P52" s="56"/>
      <c r="R52" s="715" t="s">
        <v>164</v>
      </c>
      <c r="S52" s="71"/>
      <c r="T52" s="71" t="s">
        <v>142</v>
      </c>
      <c r="U52" s="71"/>
      <c r="V52" s="56"/>
      <c r="W52" s="56">
        <v>1</v>
      </c>
      <c r="X52" s="56"/>
      <c r="Y52" s="56"/>
    </row>
    <row r="53" spans="1:25" ht="18">
      <c r="A53" s="731"/>
      <c r="B53" s="218" t="str">
        <f>IF(Contents!$B$2=2,"Security hotline","Горячая линия безопасности")</f>
        <v>Горячая линия безопасности</v>
      </c>
      <c r="C53" s="12" t="str">
        <f>IF(Contents!$B$2=2,"unit","ед.")</f>
        <v>ед.</v>
      </c>
      <c r="D53" s="720" t="s">
        <v>185</v>
      </c>
      <c r="E53" s="720" t="s">
        <v>185</v>
      </c>
      <c r="F53" s="720" t="s">
        <v>185</v>
      </c>
      <c r="G53" s="720" t="s">
        <v>185</v>
      </c>
      <c r="H53" s="720" t="s">
        <v>185</v>
      </c>
      <c r="I53" s="222">
        <v>624</v>
      </c>
      <c r="J53" s="720">
        <v>982</v>
      </c>
      <c r="K53" s="222">
        <v>1264</v>
      </c>
      <c r="L53" s="222">
        <v>847</v>
      </c>
      <c r="M53" s="222">
        <v>595</v>
      </c>
      <c r="N53" s="911">
        <v>500</v>
      </c>
      <c r="P53" s="56"/>
      <c r="R53" s="297"/>
      <c r="S53" s="56"/>
      <c r="T53" s="60"/>
      <c r="U53" s="714"/>
      <c r="V53" s="56"/>
      <c r="W53" s="56"/>
      <c r="X53" s="56"/>
      <c r="Y53" s="56"/>
    </row>
    <row r="54" spans="1:25" ht="18">
      <c r="A54" s="731"/>
      <c r="B54" s="218" t="str">
        <f>IF(Contents!$B$2=2,"Ethics and human rights hotline","Горячая линия этики и прав человека")</f>
        <v>Горячая линия этики и прав человека</v>
      </c>
      <c r="C54" s="12" t="str">
        <f>IF(Contents!$B$2=2,"unit","ед.")</f>
        <v>ед.</v>
      </c>
      <c r="D54" s="720" t="s">
        <v>185</v>
      </c>
      <c r="E54" s="720" t="s">
        <v>185</v>
      </c>
      <c r="F54" s="720" t="s">
        <v>185</v>
      </c>
      <c r="G54" s="720" t="s">
        <v>185</v>
      </c>
      <c r="H54" s="720" t="s">
        <v>185</v>
      </c>
      <c r="I54" s="720" t="s">
        <v>185</v>
      </c>
      <c r="J54" s="222">
        <v>21</v>
      </c>
      <c r="K54" s="222">
        <v>10</v>
      </c>
      <c r="L54" s="222">
        <v>12</v>
      </c>
      <c r="M54" s="222">
        <v>18</v>
      </c>
      <c r="N54" s="911">
        <v>28</v>
      </c>
      <c r="P54" s="56"/>
      <c r="R54" s="297"/>
      <c r="S54" s="56"/>
      <c r="T54" s="60"/>
      <c r="U54" s="56"/>
      <c r="V54" s="56"/>
      <c r="W54" s="56"/>
      <c r="X54" s="56"/>
      <c r="Y54" s="56"/>
    </row>
    <row r="55" spans="1:25" ht="36">
      <c r="A55" s="256"/>
      <c r="B55" s="218" t="str">
        <f>IF(Contents!$B$2=2,"Total number of violations confirmed based on the results of processing inquiries","Общее количество нарушений, подтвержденных по результатам обработки обращений")</f>
        <v>Общее количество нарушений, подтвержденных по результатам обработки обращений</v>
      </c>
      <c r="C55" s="12" t="str">
        <f>IF(Contents!$B$2=2,"unit","ед.")</f>
        <v>ед.</v>
      </c>
      <c r="D55" s="720" t="s">
        <v>185</v>
      </c>
      <c r="E55" s="720" t="s">
        <v>185</v>
      </c>
      <c r="F55" s="720" t="s">
        <v>185</v>
      </c>
      <c r="G55" s="720" t="s">
        <v>185</v>
      </c>
      <c r="H55" s="720" t="s">
        <v>185</v>
      </c>
      <c r="I55" s="720" t="s">
        <v>185</v>
      </c>
      <c r="J55" s="720" t="s">
        <v>185</v>
      </c>
      <c r="K55" s="222">
        <v>2</v>
      </c>
      <c r="L55" s="222">
        <v>0</v>
      </c>
      <c r="M55" s="222">
        <v>0</v>
      </c>
      <c r="N55" s="911">
        <v>0</v>
      </c>
      <c r="P55" s="56"/>
      <c r="R55" s="726"/>
      <c r="S55" s="56"/>
      <c r="T55" s="725"/>
      <c r="U55" s="714"/>
      <c r="V55" s="56"/>
      <c r="W55" s="56"/>
      <c r="X55" s="56"/>
      <c r="Y55" s="56"/>
    </row>
    <row r="56" spans="1:25" ht="18">
      <c r="A56" s="692"/>
      <c r="B56" s="218"/>
      <c r="C56" s="103"/>
      <c r="D56" s="720"/>
      <c r="E56" s="720"/>
      <c r="F56" s="720"/>
      <c r="G56" s="720"/>
      <c r="H56" s="720"/>
      <c r="I56" s="720"/>
      <c r="J56" s="222"/>
      <c r="K56" s="222"/>
      <c r="L56" s="222"/>
      <c r="M56" s="58"/>
      <c r="N56" s="732"/>
      <c r="P56" s="56"/>
      <c r="R56" s="726"/>
      <c r="S56" s="56"/>
      <c r="T56" s="725"/>
      <c r="U56" s="714"/>
      <c r="V56" s="56"/>
      <c r="W56" s="56"/>
      <c r="X56" s="56"/>
      <c r="Y56" s="56"/>
    </row>
    <row r="57" spans="1:25" ht="20.100000000000001" customHeight="1">
      <c r="A57" s="692"/>
      <c r="B57" s="18" t="str">
        <f>IF(Contents!$B$2=2,"Responsible supply chain","Ответственная цепочка поставок")</f>
        <v>Ответственная цепочка поставок</v>
      </c>
      <c r="C57" s="45"/>
      <c r="D57" s="719"/>
      <c r="E57" s="719"/>
      <c r="F57" s="719"/>
      <c r="G57" s="719"/>
      <c r="H57" s="719"/>
      <c r="I57" s="719"/>
      <c r="J57" s="719"/>
      <c r="K57" s="719"/>
      <c r="L57" s="719"/>
      <c r="M57" s="719"/>
      <c r="N57" s="719"/>
      <c r="P57" s="56"/>
      <c r="R57" s="718"/>
      <c r="S57" s="717"/>
      <c r="T57" s="717"/>
      <c r="U57" s="717"/>
      <c r="V57" s="56"/>
      <c r="W57" s="56"/>
      <c r="X57" s="56"/>
      <c r="Y57" s="56"/>
    </row>
    <row r="58" spans="1:25" ht="18">
      <c r="A58" s="731"/>
      <c r="B58" s="730" t="str">
        <f>IF(Contents!$B$2=2,"Total of procured goods and services","Всего закупленных товаров и услуг")</f>
        <v>Всего закупленных товаров и услуг</v>
      </c>
      <c r="C58" s="456" t="str">
        <f>IF(Contents!$B$2=2,"RR bln","млрд руб.")</f>
        <v>млрд руб.</v>
      </c>
      <c r="D58" s="728" t="s">
        <v>3</v>
      </c>
      <c r="E58" s="728" t="s">
        <v>3</v>
      </c>
      <c r="F58" s="296">
        <v>705.78800000000001</v>
      </c>
      <c r="G58" s="296">
        <v>1028.933</v>
      </c>
      <c r="H58" s="296">
        <v>651.22400000000005</v>
      </c>
      <c r="I58" s="296">
        <v>706.69500000000005</v>
      </c>
      <c r="J58" s="296">
        <v>782.40300000000002</v>
      </c>
      <c r="K58" s="727">
        <v>891</v>
      </c>
      <c r="L58" s="727">
        <v>946</v>
      </c>
      <c r="M58" s="727">
        <v>968</v>
      </c>
      <c r="N58" s="727">
        <v>749</v>
      </c>
      <c r="P58" s="56"/>
      <c r="R58" s="297"/>
      <c r="S58" s="56"/>
      <c r="T58" s="60"/>
      <c r="U58" s="714"/>
      <c r="V58" s="56"/>
      <c r="W58" s="56"/>
      <c r="X58" s="56"/>
      <c r="Y58" s="56"/>
    </row>
    <row r="59" spans="1:25" ht="36">
      <c r="A59" s="731"/>
      <c r="B59" s="218" t="str">
        <f>IF(Contents!$B$2=2,"Percentage of goods, works, and services purchased from Russian organizations of the total volume of goods, works, and services purchased","Доля закупок российских товаров, работ, услуг в общем объеме закупок, товаров, работ, услуг")</f>
        <v>Доля закупок российских товаров, работ, услуг в общем объеме закупок, товаров, работ, услуг</v>
      </c>
      <c r="C59" s="103" t="s">
        <v>0</v>
      </c>
      <c r="D59" s="720" t="s">
        <v>185</v>
      </c>
      <c r="E59" s="720" t="s">
        <v>185</v>
      </c>
      <c r="F59" s="720" t="s">
        <v>185</v>
      </c>
      <c r="G59" s="720" t="s">
        <v>185</v>
      </c>
      <c r="H59" s="720" t="s">
        <v>185</v>
      </c>
      <c r="I59" s="222" t="s">
        <v>185</v>
      </c>
      <c r="J59" s="720">
        <v>83</v>
      </c>
      <c r="K59" s="222">
        <v>71</v>
      </c>
      <c r="L59" s="222">
        <v>82</v>
      </c>
      <c r="M59" s="222">
        <v>83</v>
      </c>
      <c r="N59" s="911">
        <v>91</v>
      </c>
      <c r="P59" s="56" t="str">
        <f>IF(Contents!$B$2=2,"Yes","Да")</f>
        <v>Да</v>
      </c>
      <c r="R59" s="297" t="s">
        <v>171</v>
      </c>
      <c r="S59" s="56"/>
      <c r="T59" s="60" t="s">
        <v>165</v>
      </c>
      <c r="U59" s="714" t="str">
        <f>IF(Contents!$B$2=2,"PBCS 65","СОКБ 65")</f>
        <v>СОКБ 65</v>
      </c>
      <c r="V59" s="56"/>
      <c r="W59" s="56">
        <v>1</v>
      </c>
      <c r="X59" s="56"/>
      <c r="Y59" s="56"/>
    </row>
    <row r="60" spans="1:25" ht="18">
      <c r="B60" s="474"/>
      <c r="C60" s="103"/>
      <c r="D60" s="720"/>
      <c r="E60" s="720"/>
      <c r="F60" s="720"/>
      <c r="G60" s="720"/>
      <c r="H60" s="720"/>
      <c r="I60" s="720"/>
      <c r="J60" s="720"/>
      <c r="K60" s="720"/>
      <c r="L60" s="720"/>
      <c r="M60" s="720"/>
      <c r="N60" s="720"/>
      <c r="P60" s="56"/>
      <c r="R60" s="715"/>
      <c r="S60" s="71"/>
      <c r="T60" s="71"/>
      <c r="U60" s="71"/>
      <c r="V60" s="56"/>
      <c r="W60" s="56"/>
      <c r="X60" s="56"/>
      <c r="Y60" s="56"/>
    </row>
    <row r="61" spans="1:25" ht="36">
      <c r="B61" s="730" t="str">
        <f>IF(Contents!$B$2=2,"Supplier assessment using social and environmental criteria","Оценка поставщиков с применением социальных и экологических критериев")</f>
        <v>Оценка поставщиков с применением социальных и экологических критериев</v>
      </c>
      <c r="C61" s="456"/>
      <c r="D61" s="728"/>
      <c r="E61" s="728"/>
      <c r="F61" s="729"/>
      <c r="G61" s="729"/>
      <c r="H61" s="729"/>
      <c r="I61" s="729"/>
      <c r="J61" s="729"/>
      <c r="K61" s="728"/>
      <c r="L61" s="727"/>
      <c r="M61" s="727"/>
      <c r="N61" s="727"/>
      <c r="P61" s="56"/>
      <c r="R61" s="726"/>
      <c r="S61" s="714"/>
      <c r="T61" s="725"/>
      <c r="U61" s="714"/>
      <c r="V61" s="56"/>
      <c r="W61" s="56"/>
      <c r="X61" s="56"/>
      <c r="Y61" s="56"/>
    </row>
    <row r="62" spans="1:25" ht="51">
      <c r="B62" s="218" t="str">
        <f>IF(Contents!$B$2=2,"Number of suppliers who underwent environmental and social impact assessment","Количество поставщиков, оцененных на предмет экологического и социального воздействия")</f>
        <v>Количество поставщиков, оцененных на предмет экологического и социального воздействия</v>
      </c>
      <c r="C62" s="12" t="str">
        <f>IF(Contents!$B$2=2,"unit","ед.")</f>
        <v>ед.</v>
      </c>
      <c r="D62" s="720" t="s">
        <v>185</v>
      </c>
      <c r="E62" s="720" t="s">
        <v>185</v>
      </c>
      <c r="F62" s="720" t="s">
        <v>185</v>
      </c>
      <c r="G62" s="720" t="s">
        <v>185</v>
      </c>
      <c r="H62" s="720" t="s">
        <v>185</v>
      </c>
      <c r="I62" s="222" t="s">
        <v>185</v>
      </c>
      <c r="J62" s="720" t="s">
        <v>185</v>
      </c>
      <c r="K62" s="222">
        <v>93</v>
      </c>
      <c r="L62" s="222">
        <v>141</v>
      </c>
      <c r="M62" s="222">
        <v>68</v>
      </c>
      <c r="N62" s="911">
        <v>109</v>
      </c>
      <c r="P62" s="56" t="str">
        <f>IF(Contents!$B$2=2,"Yes","Да")</f>
        <v>Да</v>
      </c>
      <c r="R62" s="297" t="s">
        <v>172</v>
      </c>
      <c r="S62" s="56"/>
      <c r="T62" s="60" t="s">
        <v>166</v>
      </c>
      <c r="U62" s="714"/>
      <c r="V62" s="56"/>
      <c r="W62" s="56">
        <v>1</v>
      </c>
      <c r="X62" s="56"/>
      <c r="Y62" s="56"/>
    </row>
    <row r="63" spans="1:25" ht="18">
      <c r="B63" s="23" t="str">
        <f>IF(Contents!$B$2=2,"by type of suppliers assessed","по видам оцененных поставщиков")</f>
        <v>по видам оцененных поставщиков</v>
      </c>
      <c r="C63" s="77"/>
      <c r="D63" s="446"/>
      <c r="E63" s="446"/>
      <c r="F63" s="446"/>
      <c r="G63" s="446"/>
      <c r="H63" s="446"/>
      <c r="I63" s="722"/>
      <c r="J63" s="721"/>
      <c r="K63" s="721"/>
      <c r="L63" s="721"/>
      <c r="M63" s="721"/>
      <c r="N63" s="721"/>
      <c r="P63" s="56"/>
      <c r="R63" s="297"/>
      <c r="S63" s="56"/>
      <c r="T63" s="56"/>
      <c r="U63" s="60"/>
      <c r="V63" s="56"/>
      <c r="W63" s="56"/>
      <c r="X63" s="56"/>
      <c r="Y63" s="56"/>
    </row>
    <row r="64" spans="1:25" ht="18">
      <c r="B64" s="724" t="str">
        <f>IF(Contents!$B$2=2,"Number of new suppliers assessed","Количество новых оцененных поставщиков")</f>
        <v>Количество новых оцененных поставщиков</v>
      </c>
      <c r="C64" s="12" t="str">
        <f>IF(Contents!$B$2=2,"unit","ед.")</f>
        <v>ед.</v>
      </c>
      <c r="D64" s="720" t="s">
        <v>185</v>
      </c>
      <c r="E64" s="720" t="s">
        <v>185</v>
      </c>
      <c r="F64" s="720" t="s">
        <v>185</v>
      </c>
      <c r="G64" s="720" t="s">
        <v>185</v>
      </c>
      <c r="H64" s="720" t="s">
        <v>185</v>
      </c>
      <c r="I64" s="222" t="s">
        <v>185</v>
      </c>
      <c r="J64" s="720" t="s">
        <v>185</v>
      </c>
      <c r="K64" s="720" t="s">
        <v>185</v>
      </c>
      <c r="L64" s="222">
        <v>134</v>
      </c>
      <c r="M64" s="222">
        <v>60</v>
      </c>
      <c r="N64" s="911">
        <v>85</v>
      </c>
      <c r="P64" s="56" t="str">
        <f>IF(Contents!$B$2=2,"Yes","Да")</f>
        <v>Да</v>
      </c>
      <c r="R64" s="297"/>
      <c r="S64" s="56"/>
      <c r="T64" s="60"/>
      <c r="U64" s="714"/>
      <c r="V64" s="56"/>
      <c r="W64" s="56"/>
      <c r="X64" s="56"/>
      <c r="Y64" s="56"/>
    </row>
    <row r="65" spans="1:27">
      <c r="B65" s="723" t="str">
        <f>IF(Contents!$B$2=2,"Percentage of new suppliers in all suppliers assessed","Доля новых оцененных поставщиков")</f>
        <v>Доля новых оцененных поставщиков</v>
      </c>
      <c r="C65" s="103" t="s">
        <v>0</v>
      </c>
      <c r="D65" s="720" t="s">
        <v>185</v>
      </c>
      <c r="E65" s="720" t="s">
        <v>185</v>
      </c>
      <c r="F65" s="720" t="s">
        <v>185</v>
      </c>
      <c r="G65" s="720" t="s">
        <v>185</v>
      </c>
      <c r="H65" s="720" t="s">
        <v>185</v>
      </c>
      <c r="I65" s="222" t="s">
        <v>185</v>
      </c>
      <c r="J65" s="720" t="s">
        <v>185</v>
      </c>
      <c r="K65" s="720" t="s">
        <v>185</v>
      </c>
      <c r="L65" s="343">
        <v>95</v>
      </c>
      <c r="M65" s="343">
        <v>88</v>
      </c>
      <c r="N65" s="790">
        <v>78</v>
      </c>
      <c r="P65" s="56" t="str">
        <f>IF(Contents!$B$2=2,"Yes","Да")</f>
        <v>Да</v>
      </c>
      <c r="R65" s="297"/>
      <c r="S65" s="56"/>
      <c r="T65" s="60"/>
      <c r="U65" s="714"/>
      <c r="V65" s="56"/>
      <c r="W65" s="56"/>
      <c r="X65" s="56"/>
      <c r="Y65" s="56"/>
    </row>
    <row r="66" spans="1:27" ht="18">
      <c r="B66" s="724" t="str">
        <f>IF(Contents!$B$2=2,"Number of active suppliers assessed","Количество действующих оцененных поставщиков")</f>
        <v>Количество действующих оцененных поставщиков</v>
      </c>
      <c r="C66" s="12" t="str">
        <f>IF(Contents!$B$2=2,"unit","ед.")</f>
        <v>ед.</v>
      </c>
      <c r="D66" s="720" t="s">
        <v>185</v>
      </c>
      <c r="E66" s="720" t="s">
        <v>185</v>
      </c>
      <c r="F66" s="720" t="s">
        <v>185</v>
      </c>
      <c r="G66" s="720" t="s">
        <v>185</v>
      </c>
      <c r="H66" s="720" t="s">
        <v>185</v>
      </c>
      <c r="I66" s="222" t="s">
        <v>185</v>
      </c>
      <c r="J66" s="720" t="s">
        <v>185</v>
      </c>
      <c r="K66" s="720" t="s">
        <v>185</v>
      </c>
      <c r="L66" s="222">
        <v>7</v>
      </c>
      <c r="M66" s="222">
        <v>8</v>
      </c>
      <c r="N66" s="911">
        <v>24</v>
      </c>
      <c r="P66" s="56" t="str">
        <f>IF(Contents!$B$2=2,"Yes","Да")</f>
        <v>Да</v>
      </c>
      <c r="R66" s="297"/>
      <c r="S66" s="56"/>
      <c r="T66" s="60"/>
      <c r="U66" s="714"/>
      <c r="V66" s="56"/>
      <c r="W66" s="56"/>
      <c r="X66" s="56"/>
      <c r="Y66" s="56"/>
    </row>
    <row r="67" spans="1:27">
      <c r="B67" s="723" t="str">
        <f>IF(Contents!$B$2=2,"Percentage of active suppliers in all suppliers assessed","Доля действующих оцененных поставщиков")</f>
        <v>Доля действующих оцененных поставщиков</v>
      </c>
      <c r="C67" s="103" t="s">
        <v>0</v>
      </c>
      <c r="D67" s="720" t="s">
        <v>185</v>
      </c>
      <c r="E67" s="720" t="s">
        <v>185</v>
      </c>
      <c r="F67" s="720" t="s">
        <v>185</v>
      </c>
      <c r="G67" s="720" t="s">
        <v>185</v>
      </c>
      <c r="H67" s="720" t="s">
        <v>185</v>
      </c>
      <c r="I67" s="222" t="s">
        <v>185</v>
      </c>
      <c r="J67" s="720" t="s">
        <v>185</v>
      </c>
      <c r="K67" s="720" t="s">
        <v>185</v>
      </c>
      <c r="L67" s="343">
        <v>5</v>
      </c>
      <c r="M67" s="343">
        <v>12</v>
      </c>
      <c r="N67" s="790">
        <v>22</v>
      </c>
      <c r="P67" s="56" t="str">
        <f>IF(Contents!$B$2=2,"Yes","Да")</f>
        <v>Да</v>
      </c>
      <c r="R67" s="297"/>
      <c r="S67" s="56"/>
      <c r="T67" s="60"/>
      <c r="U67" s="714"/>
      <c r="V67" s="56"/>
      <c r="W67" s="56"/>
      <c r="X67" s="56"/>
      <c r="Y67" s="56"/>
    </row>
    <row r="68" spans="1:27" ht="18">
      <c r="B68" s="23" t="str">
        <f>IF(Contents!$B$2=2,"by the outcome of the assessment","по результатам оценки")</f>
        <v>по результатам оценки</v>
      </c>
      <c r="C68" s="77"/>
      <c r="D68" s="446"/>
      <c r="E68" s="446"/>
      <c r="F68" s="446"/>
      <c r="G68" s="446"/>
      <c r="H68" s="446"/>
      <c r="I68" s="722"/>
      <c r="J68" s="721"/>
      <c r="K68" s="721"/>
      <c r="L68" s="721"/>
      <c r="M68" s="721"/>
      <c r="N68" s="721"/>
      <c r="P68" s="56"/>
      <c r="R68" s="297"/>
      <c r="S68" s="56"/>
      <c r="T68" s="56"/>
      <c r="U68" s="60"/>
      <c r="V68" s="56"/>
      <c r="W68" s="56"/>
      <c r="X68" s="56"/>
      <c r="Y68" s="56"/>
    </row>
    <row r="69" spans="1:27" ht="40.5" customHeight="1">
      <c r="A69" s="692"/>
      <c r="B69" s="218" t="str">
        <f>IF(Contents!$B$2=2,"Percentage of new suppliers selected using social and environmental criteria","Доля новых поставщиков, отобранных с применением социальных и экологических критериев")</f>
        <v>Доля новых поставщиков, отобранных с применением социальных и экологических критериев</v>
      </c>
      <c r="C69" s="103" t="s">
        <v>0</v>
      </c>
      <c r="D69" s="720" t="s">
        <v>185</v>
      </c>
      <c r="E69" s="720" t="s">
        <v>185</v>
      </c>
      <c r="F69" s="720" t="s">
        <v>185</v>
      </c>
      <c r="G69" s="720" t="s">
        <v>185</v>
      </c>
      <c r="H69" s="720" t="s">
        <v>185</v>
      </c>
      <c r="I69" s="222" t="s">
        <v>185</v>
      </c>
      <c r="J69" s="720" t="s">
        <v>185</v>
      </c>
      <c r="K69" s="222">
        <v>100</v>
      </c>
      <c r="L69" s="222">
        <v>100</v>
      </c>
      <c r="M69" s="222">
        <v>100</v>
      </c>
      <c r="N69" s="911">
        <v>100</v>
      </c>
      <c r="P69" s="56" t="str">
        <f>IF(Contents!$B$2=2,"Yes","Да")</f>
        <v>Да</v>
      </c>
      <c r="R69" s="297" t="s">
        <v>173</v>
      </c>
      <c r="S69" s="56"/>
      <c r="T69" s="60" t="s">
        <v>166</v>
      </c>
      <c r="U69" s="297"/>
      <c r="V69" s="56"/>
      <c r="W69" s="56">
        <v>1</v>
      </c>
      <c r="X69" s="56"/>
      <c r="Y69" s="56"/>
    </row>
    <row r="70" spans="1:27" ht="18">
      <c r="A70" s="692"/>
      <c r="B70" s="474"/>
      <c r="C70" s="103"/>
      <c r="D70" s="720"/>
      <c r="E70" s="720"/>
      <c r="F70" s="720"/>
      <c r="G70" s="720"/>
      <c r="H70" s="720"/>
      <c r="I70" s="720"/>
      <c r="J70" s="720"/>
      <c r="K70" s="720"/>
      <c r="L70" s="720"/>
      <c r="M70" s="720"/>
      <c r="N70" s="720"/>
      <c r="P70" s="56"/>
      <c r="R70" s="297"/>
      <c r="S70" s="56"/>
      <c r="T70" s="60"/>
      <c r="U70" s="297"/>
      <c r="V70" s="56"/>
      <c r="W70" s="56"/>
      <c r="X70" s="56"/>
      <c r="Y70" s="56"/>
    </row>
    <row r="71" spans="1:27" ht="20.100000000000001" customHeight="1">
      <c r="A71" s="1"/>
      <c r="B71" s="475" t="str">
        <f>IF(Contents!$B$2=2,"Innovation","Инновации")</f>
        <v>Инновации</v>
      </c>
      <c r="C71" s="45"/>
      <c r="D71" s="719"/>
      <c r="E71" s="719"/>
      <c r="F71" s="719"/>
      <c r="G71" s="719"/>
      <c r="H71" s="719"/>
      <c r="I71" s="719"/>
      <c r="J71" s="719"/>
      <c r="K71" s="719"/>
      <c r="L71" s="719"/>
      <c r="M71" s="719"/>
      <c r="N71" s="719"/>
      <c r="P71" s="56"/>
      <c r="R71" s="718"/>
      <c r="S71" s="717"/>
      <c r="T71" s="717"/>
      <c r="U71" s="717"/>
      <c r="V71" s="56"/>
      <c r="W71" s="56"/>
      <c r="X71" s="56"/>
      <c r="Y71" s="56"/>
    </row>
    <row r="72" spans="1:27" ht="18">
      <c r="A72" s="1"/>
      <c r="B72" s="716" t="str">
        <f>IF(Contents!$B$2=2,"Investment in R&amp;D","Инвестиции в НИОКР")</f>
        <v>Инвестиции в НИОКР</v>
      </c>
      <c r="C72" s="42" t="str">
        <f>IF(Contents!$B$2=2,"RR mln","млн руб.")</f>
        <v>млн руб.</v>
      </c>
      <c r="D72" s="239" t="s">
        <v>185</v>
      </c>
      <c r="E72" s="239" t="s">
        <v>185</v>
      </c>
      <c r="F72" s="239" t="s">
        <v>185</v>
      </c>
      <c r="G72" s="239" t="s">
        <v>185</v>
      </c>
      <c r="H72" s="239" t="s">
        <v>185</v>
      </c>
      <c r="I72" s="239" t="s">
        <v>185</v>
      </c>
      <c r="J72" s="476">
        <v>183</v>
      </c>
      <c r="K72" s="476">
        <v>586</v>
      </c>
      <c r="L72" s="476">
        <v>808.77517434999993</v>
      </c>
      <c r="M72" s="476">
        <v>805</v>
      </c>
      <c r="N72" s="476">
        <v>835</v>
      </c>
      <c r="P72" s="56"/>
      <c r="R72" s="715"/>
      <c r="S72" s="71"/>
      <c r="T72" s="71"/>
      <c r="U72" s="56" t="str">
        <f>IF(Contents!$B$2=2,"PBCS 91","СОКБ 91")</f>
        <v>СОКБ 91</v>
      </c>
      <c r="V72" s="56"/>
      <c r="W72" s="56">
        <v>2</v>
      </c>
      <c r="X72" s="56"/>
      <c r="Y72" s="56"/>
    </row>
    <row r="73" spans="1:27">
      <c r="B73" s="806" t="str">
        <f>IF(Contents!$B$2=2, $Z$73, $AA$73)</f>
        <v>Для синхронизации подходов с консолидированной финансовой отчетностью в 2025 году Компания пересмотрела подход к расчету показателей и произвела пересчет показателей за 2023, 2024 и 2025 годы. Показатели раскрыты пропорционально доле владения Группы в совместных предприятиях (периметр 2).</v>
      </c>
      <c r="C73" s="795"/>
      <c r="D73" s="478"/>
      <c r="E73" s="478"/>
      <c r="F73" s="478"/>
      <c r="G73" s="478"/>
      <c r="H73" s="478"/>
      <c r="I73" s="479"/>
      <c r="J73" s="478"/>
      <c r="K73" s="478"/>
      <c r="L73" s="478"/>
      <c r="M73" s="478"/>
      <c r="N73" s="478"/>
      <c r="O73" s="477" t="s">
        <v>167</v>
      </c>
      <c r="P73" s="638"/>
      <c r="Q73" s="477"/>
      <c r="R73" s="637"/>
      <c r="S73" s="638"/>
      <c r="T73" s="638"/>
      <c r="U73" s="638"/>
      <c r="V73" s="638"/>
      <c r="W73" s="638"/>
      <c r="X73" s="638"/>
      <c r="Z73" s="226" t="s">
        <v>196</v>
      </c>
      <c r="AA73" s="226" t="s">
        <v>195</v>
      </c>
    </row>
    <row r="74" spans="1:27">
      <c r="B74" s="713"/>
      <c r="C74" s="712"/>
      <c r="D74" s="130"/>
      <c r="E74" s="130"/>
      <c r="F74" s="130"/>
      <c r="G74" s="130"/>
      <c r="H74" s="130"/>
      <c r="I74" s="480"/>
      <c r="J74" s="130"/>
      <c r="K74" s="130"/>
      <c r="L74" s="130"/>
      <c r="M74" s="58"/>
      <c r="N74" s="58"/>
      <c r="O74" s="58"/>
      <c r="P74" s="56"/>
      <c r="Q74" s="58"/>
      <c r="R74" s="297"/>
      <c r="S74" s="56"/>
      <c r="T74" s="56"/>
      <c r="U74" s="60"/>
      <c r="V74" s="56"/>
      <c r="W74" s="56"/>
      <c r="X74" s="56"/>
    </row>
    <row r="75" spans="1:27">
      <c r="B75" s="141" t="str">
        <f>IF(Contents!$B$2=2,"For more information, see the Sustainable Development Reports for 2020-2025 (the Sustainability Management chapter).","Для получения дополнительной информации см. Отчеты об устойчивом развитии за 2020-2025 гг. (глава «Управление»).")</f>
        <v>Для получения дополнительной информации см. Отчеты об устойчивом развитии за 2020-2025 гг. (глава «Управление»).</v>
      </c>
      <c r="C75" s="712"/>
      <c r="D75" s="130"/>
      <c r="E75" s="130"/>
      <c r="F75" s="130"/>
      <c r="G75" s="130"/>
      <c r="H75" s="130"/>
      <c r="I75" s="480"/>
      <c r="J75" s="130"/>
      <c r="K75" s="130"/>
      <c r="L75" s="130"/>
      <c r="M75" s="58"/>
      <c r="N75" s="58"/>
      <c r="O75" s="58"/>
      <c r="P75" s="56"/>
      <c r="Q75" s="58"/>
      <c r="R75" s="297"/>
      <c r="S75" s="56"/>
      <c r="T75" s="56"/>
      <c r="U75" s="60"/>
      <c r="V75" s="56"/>
      <c r="W75" s="56"/>
      <c r="X75" s="56"/>
    </row>
    <row r="76" spans="1:27">
      <c r="V76" s="56"/>
      <c r="W76" s="56"/>
      <c r="X76" s="56"/>
    </row>
    <row r="77" spans="1:27">
      <c r="V77" s="56"/>
      <c r="W77" s="56"/>
      <c r="X77" s="56"/>
    </row>
    <row r="78" spans="1:27">
      <c r="V78" s="56"/>
      <c r="W78" s="56"/>
      <c r="X78" s="56"/>
    </row>
    <row r="79" spans="1:27">
      <c r="V79" s="56"/>
      <c r="W79" s="56"/>
      <c r="X79" s="56"/>
    </row>
    <row r="80" spans="1:27">
      <c r="V80" s="56"/>
      <c r="W80" s="56"/>
      <c r="X80" s="56"/>
    </row>
    <row r="81" spans="3:24">
      <c r="V81" s="56"/>
      <c r="W81" s="56"/>
      <c r="X81" s="56"/>
    </row>
    <row r="82" spans="3:24">
      <c r="V82" s="56"/>
      <c r="W82" s="56"/>
      <c r="X82" s="56"/>
    </row>
    <row r="83" spans="3:24">
      <c r="C83" s="43"/>
      <c r="D83" s="43"/>
      <c r="E83" s="43"/>
      <c r="F83" s="43"/>
      <c r="G83" s="43"/>
      <c r="H83" s="43"/>
      <c r="I83" s="43"/>
      <c r="J83" s="43"/>
      <c r="K83" s="43"/>
      <c r="L83" s="43"/>
      <c r="M83" s="43"/>
      <c r="N83" s="43"/>
      <c r="O83" s="43"/>
      <c r="Q83" s="43"/>
      <c r="R83" s="606"/>
      <c r="U83" s="606"/>
      <c r="V83" s="56"/>
      <c r="W83" s="56"/>
      <c r="X83" s="56"/>
    </row>
    <row r="84" spans="3:24">
      <c r="C84" s="43"/>
      <c r="D84" s="43"/>
      <c r="E84" s="43"/>
      <c r="F84" s="43"/>
      <c r="G84" s="43"/>
      <c r="H84" s="43"/>
      <c r="I84" s="43"/>
      <c r="J84" s="43"/>
      <c r="K84" s="43"/>
      <c r="L84" s="43"/>
      <c r="M84" s="43"/>
      <c r="N84" s="43"/>
      <c r="O84" s="43"/>
      <c r="Q84" s="43"/>
      <c r="R84" s="606"/>
      <c r="U84" s="606"/>
      <c r="V84" s="56"/>
      <c r="W84" s="56"/>
      <c r="X84" s="56"/>
    </row>
    <row r="85" spans="3:24">
      <c r="C85" s="43"/>
      <c r="D85" s="43"/>
      <c r="E85" s="43"/>
      <c r="F85" s="43"/>
      <c r="G85" s="43"/>
      <c r="H85" s="43"/>
      <c r="I85" s="43"/>
      <c r="J85" s="43"/>
      <c r="K85" s="43"/>
      <c r="L85" s="43"/>
      <c r="M85" s="43"/>
      <c r="N85" s="43"/>
      <c r="O85" s="43"/>
      <c r="Q85" s="43"/>
      <c r="R85" s="606"/>
      <c r="U85" s="606"/>
      <c r="V85" s="56"/>
      <c r="W85" s="56"/>
      <c r="X85" s="56"/>
    </row>
    <row r="86" spans="3:24">
      <c r="C86" s="43"/>
      <c r="D86" s="43"/>
      <c r="E86" s="43"/>
      <c r="F86" s="43"/>
      <c r="G86" s="43"/>
      <c r="H86" s="43"/>
      <c r="I86" s="43"/>
      <c r="J86" s="43"/>
      <c r="K86" s="43"/>
      <c r="L86" s="43"/>
      <c r="M86" s="43"/>
      <c r="N86" s="43"/>
      <c r="O86" s="43"/>
      <c r="Q86" s="43"/>
      <c r="R86" s="606"/>
      <c r="U86" s="606"/>
      <c r="V86" s="56"/>
      <c r="W86" s="56"/>
      <c r="X86" s="56"/>
    </row>
    <row r="87" spans="3:24">
      <c r="C87" s="43"/>
      <c r="D87" s="43"/>
      <c r="E87" s="43"/>
      <c r="F87" s="43"/>
      <c r="G87" s="43"/>
      <c r="H87" s="43"/>
      <c r="I87" s="43"/>
      <c r="J87" s="43"/>
      <c r="K87" s="43"/>
      <c r="L87" s="43"/>
      <c r="M87" s="43"/>
      <c r="N87" s="43"/>
      <c r="O87" s="43"/>
      <c r="Q87" s="43"/>
      <c r="R87" s="606"/>
      <c r="U87" s="606"/>
      <c r="V87" s="56"/>
      <c r="W87" s="56"/>
      <c r="X87" s="56"/>
    </row>
    <row r="88" spans="3:24">
      <c r="C88" s="43"/>
      <c r="D88" s="43"/>
      <c r="E88" s="43"/>
      <c r="F88" s="43"/>
      <c r="G88" s="43"/>
      <c r="H88" s="43"/>
      <c r="I88" s="43"/>
      <c r="J88" s="43"/>
      <c r="K88" s="43"/>
      <c r="L88" s="43"/>
      <c r="M88" s="43"/>
      <c r="N88" s="43"/>
      <c r="O88" s="43"/>
      <c r="Q88" s="43"/>
      <c r="R88" s="606"/>
      <c r="U88" s="606"/>
      <c r="V88" s="56"/>
      <c r="W88" s="56"/>
      <c r="X88" s="56"/>
    </row>
    <row r="89" spans="3:24">
      <c r="C89" s="43"/>
      <c r="D89" s="43"/>
      <c r="E89" s="43"/>
      <c r="F89" s="43"/>
      <c r="G89" s="43"/>
      <c r="H89" s="43"/>
      <c r="I89" s="43"/>
      <c r="J89" s="43"/>
      <c r="K89" s="43"/>
      <c r="L89" s="43"/>
      <c r="M89" s="43"/>
      <c r="N89" s="43"/>
      <c r="O89" s="43"/>
      <c r="Q89" s="43"/>
      <c r="R89" s="606"/>
      <c r="U89" s="606"/>
      <c r="W89" s="56"/>
    </row>
    <row r="90" spans="3:24">
      <c r="C90" s="43"/>
      <c r="D90" s="43"/>
      <c r="E90" s="43"/>
      <c r="F90" s="43"/>
      <c r="G90" s="43"/>
      <c r="H90" s="43"/>
      <c r="I90" s="43"/>
      <c r="J90" s="43"/>
      <c r="K90" s="43"/>
      <c r="L90" s="43"/>
      <c r="M90" s="43"/>
      <c r="N90" s="43"/>
      <c r="O90" s="43"/>
      <c r="Q90" s="43"/>
      <c r="R90" s="606"/>
      <c r="U90" s="606"/>
      <c r="W90" s="56"/>
    </row>
  </sheetData>
  <mergeCells count="1">
    <mergeCell ref="B24:M24"/>
  </mergeCells>
  <hyperlinks>
    <hyperlink ref="B3" location="'Corporate governance'!B8" display="'Corporate governance'!B8"/>
    <hyperlink ref="B4" location="'Corporate governance'!B26" display="'Corporate governance'!B26"/>
    <hyperlink ref="C3" location="'Corporate governance'!B43" display="'Corporate governance'!B43"/>
    <hyperlink ref="B75" r:id="rId1" display="https://www.novatek.ru/en/development/archive/"/>
    <hyperlink ref="H3" location="'Corporate governance'!B71" display="'Corporate governance'!B71"/>
    <hyperlink ref="E4" location="'Corporate governance'!B57" display="'Corporate governance'!B57"/>
    <hyperlink ref="E3" location="'Corporate governance'!B51" display="'Corporate governance'!B51"/>
    <hyperlink ref="B1" location="Contents!A1" display="← Back to Contents"/>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G360"/>
  <sheetViews>
    <sheetView zoomScale="60" zoomScaleNormal="60" workbookViewId="0">
      <pane xSplit="1" ySplit="7" topLeftCell="B8" activePane="bottomRight" state="frozen"/>
      <selection pane="topRight" activeCell="C1" sqref="C1"/>
      <selection pane="bottomLeft" activeCell="A8" sqref="A8"/>
      <selection pane="bottomRight" activeCell="G117" sqref="G117"/>
    </sheetView>
  </sheetViews>
  <sheetFormatPr defaultColWidth="13.140625" defaultRowHeight="18.75"/>
  <cols>
    <col min="1" max="1" width="13.140625" style="14" customWidth="1"/>
    <col min="2" max="2" width="107.85546875" style="14" customWidth="1"/>
    <col min="3" max="3" width="20.42578125" style="15" customWidth="1"/>
    <col min="4" max="7" width="20.42578125" style="37" customWidth="1"/>
    <col min="8" max="8" width="13.140625" style="16" customWidth="1"/>
    <col min="9" max="9" width="20.42578125" style="589" customWidth="1"/>
    <col min="10" max="10" width="5.42578125" style="589" customWidth="1"/>
    <col min="11" max="11" width="15.42578125" style="589" customWidth="1"/>
    <col min="12" max="12" width="5.42578125" style="589" customWidth="1"/>
    <col min="13" max="238" width="9.140625" style="14" customWidth="1"/>
    <col min="239" max="239" width="13.42578125" style="14" customWidth="1"/>
    <col min="240" max="240" width="91" style="14" customWidth="1"/>
    <col min="241" max="16384" width="13.140625" style="14"/>
  </cols>
  <sheetData>
    <row r="1" spans="1:241" ht="89.1" customHeight="1">
      <c r="B1" s="487" t="s">
        <v>168</v>
      </c>
    </row>
    <row r="2" spans="1:241">
      <c r="A2" s="43"/>
      <c r="B2" s="18" t="str">
        <f>IF(Contents!$B$2=2,"CONTENTS","СОДЕРЖАНИЕ")</f>
        <v>СОДЕРЖАНИЕ</v>
      </c>
      <c r="C2" s="44"/>
      <c r="D2" s="773"/>
      <c r="E2" s="719"/>
      <c r="F2" s="719"/>
      <c r="G2" s="719"/>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row>
    <row r="3" spans="1:241" ht="36" customHeight="1">
      <c r="A3" s="17"/>
      <c r="B3" s="575" t="str">
        <f>IF(Contents!$B$2=2,"Environmental indicators","Экологические показатели")</f>
        <v>Экологические показатели</v>
      </c>
      <c r="C3" s="575" t="str">
        <f>IF(Contents!$B$2=2,"Management indicators","Управленческие показатели")</f>
        <v>Управленческие показатели</v>
      </c>
      <c r="D3" s="772"/>
      <c r="E3" s="772"/>
      <c r="F3" s="945" t="str">
        <f>IF(Contents!$B$2=2,"Indicators demonstrating the organisation’s contribution to the social welfare and strategic development of the Russian Federation ","Показатели, отражающие участие организации в повышении благосостояния общества и стратегическом развитии Российской Федерации")</f>
        <v>Показатели, отражающие участие организации в повышении благосостояния общества и стратегическом развитии Российской Федерации</v>
      </c>
      <c r="G3" s="945"/>
      <c r="H3" s="507"/>
    </row>
    <row r="4" spans="1:241" ht="39.6" customHeight="1">
      <c r="A4" s="17"/>
      <c r="B4" s="575" t="str">
        <f>IF(Contents!$B$2=2,"Social indicators","Социальные показатели")</f>
        <v>Социальные показатели</v>
      </c>
      <c r="C4" s="575" t="str">
        <f>IF(Contents!$B$2=2,"Economic indicators","Экономические показатели")</f>
        <v>Экономические показатели</v>
      </c>
      <c r="D4" s="584"/>
      <c r="E4" s="584"/>
      <c r="F4" s="945"/>
      <c r="G4" s="945"/>
      <c r="H4" s="507"/>
      <c r="I4" s="39"/>
      <c r="K4" s="39"/>
    </row>
    <row r="5" spans="1:241">
      <c r="A5" s="17"/>
      <c r="B5" s="584"/>
      <c r="C5" s="584"/>
      <c r="D5" s="584"/>
      <c r="E5" s="584"/>
      <c r="F5" s="584"/>
      <c r="G5" s="584"/>
      <c r="H5" s="507"/>
      <c r="I5" s="39"/>
      <c r="K5" s="39"/>
    </row>
    <row r="6" spans="1:241" ht="20.25">
      <c r="B6" s="674" t="str">
        <f>IF(Contents!$B$2=2,"Table of Accounting of the Public Business Capital Standard","Таблица учета Стандарта общественного капитала бизнеса")</f>
        <v>Таблица учета Стандарта общественного капитала бизнеса</v>
      </c>
      <c r="C6" s="771"/>
      <c r="D6" s="770"/>
      <c r="E6" s="770"/>
      <c r="F6" s="770"/>
      <c r="G6" s="770"/>
      <c r="H6" s="35"/>
      <c r="I6" s="769"/>
      <c r="K6" s="769"/>
    </row>
    <row r="7" spans="1:241" ht="38.25">
      <c r="B7" s="47"/>
      <c r="C7" s="19"/>
      <c r="D7" s="21">
        <v>2022</v>
      </c>
      <c r="E7" s="20">
        <v>2023</v>
      </c>
      <c r="F7" s="20">
        <v>2024</v>
      </c>
      <c r="G7" s="20">
        <v>2025</v>
      </c>
      <c r="H7" s="36"/>
      <c r="I7" s="602" t="str">
        <f>IF(Contents!$B$2=2,"Indices of the Public Business Capital Standard","Индексы Стандарта общественного капитала бизнеса")</f>
        <v>Индексы Стандарта общественного капитала бизнеса</v>
      </c>
      <c r="J7" s="504"/>
      <c r="K7" s="586" t="str">
        <f>IF(Contents!$B$2=2,"Report scope","Границы отчетности")</f>
        <v>Границы отчетности</v>
      </c>
      <c r="L7" s="504"/>
    </row>
    <row r="8" spans="1:241">
      <c r="B8" s="45" t="str">
        <f>IF(Contents!$B$2=2,"Environmental indicators","Экологические показатели")</f>
        <v>Экологические показатели</v>
      </c>
      <c r="C8" s="45"/>
      <c r="D8" s="719"/>
      <c r="E8" s="719"/>
      <c r="F8" s="719"/>
      <c r="G8" s="719"/>
      <c r="H8" s="40"/>
      <c r="I8" s="39"/>
      <c r="K8" s="558"/>
    </row>
    <row r="9" spans="1:241">
      <c r="B9" s="48" t="str">
        <f>IF(Contents!$B$2=2,"Water use and discharge","Водопользование и водоотведение")</f>
        <v>Водопользование и водоотведение</v>
      </c>
      <c r="C9" s="49"/>
      <c r="D9" s="50"/>
      <c r="E9" s="50"/>
      <c r="F9" s="51"/>
      <c r="G9" s="51"/>
      <c r="H9" s="29"/>
      <c r="I9" s="39"/>
      <c r="K9" s="766"/>
      <c r="M9" s="22"/>
    </row>
    <row r="10" spans="1:241" ht="18">
      <c r="A10" s="756"/>
      <c r="B10" s="52" t="str">
        <f>IF(Contents!$B$2=2,"Total water withdrawal","Общий объем забираемой воды")</f>
        <v>Общий объем забираемой воды</v>
      </c>
      <c r="C10" s="53" t="str">
        <f>IF(Contents!$B$2=2,"th. cubic meters","тыс. куб. м")</f>
        <v>тыс. куб. м</v>
      </c>
      <c r="D10" s="147">
        <v>2923</v>
      </c>
      <c r="E10" s="147">
        <v>4327</v>
      </c>
      <c r="F10" s="147">
        <v>4224</v>
      </c>
      <c r="G10" s="895">
        <v>2165</v>
      </c>
      <c r="H10" s="55"/>
      <c r="I10" s="56" t="str">
        <f>IF(Contents!$B$2=2,"PBCS 1","СОКБ 1")</f>
        <v>СОКБ 1</v>
      </c>
      <c r="J10" s="56"/>
      <c r="K10" s="277">
        <v>2</v>
      </c>
      <c r="L10" s="277"/>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row>
    <row r="11" spans="1:241" ht="36">
      <c r="A11" s="756"/>
      <c r="B11" s="52" t="str">
        <f>IF(Contents!$B$2=2,"Volume of own water consumption from all water supply sources, excluding water supply to external consumers without its use","Объем собственного потребления воды из всех источников водоснабжения, без учета отпуска воды внешним потребителям без ее использования")</f>
        <v>Объем собственного потребления воды из всех источников водоснабжения, без учета отпуска воды внешним потребителям без ее использования</v>
      </c>
      <c r="C11" s="53" t="str">
        <f>IF(Contents!$B$2=2,"th. cubic meters","тыс. куб. м")</f>
        <v>тыс. куб. м</v>
      </c>
      <c r="D11" s="147">
        <v>414</v>
      </c>
      <c r="E11" s="147">
        <v>1808</v>
      </c>
      <c r="F11" s="147">
        <v>1640</v>
      </c>
      <c r="G11" s="895">
        <v>215</v>
      </c>
      <c r="H11" s="55"/>
      <c r="I11" s="56" t="str">
        <f>IF(Contents!$B$2=2,"PBCS 2","СОКБ 2")</f>
        <v>СОКБ 2</v>
      </c>
      <c r="J11" s="56"/>
      <c r="K11" s="277">
        <v>2</v>
      </c>
      <c r="L11" s="277"/>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row>
    <row r="12" spans="1:241" ht="36">
      <c r="A12" s="756"/>
      <c r="B12" s="52" t="str">
        <f>IF(Contents!$B$2=2,"Percentage of recycled and reused water in total own water consumption from all sources","Доля оборотного и повторно-последовательного водоснабжения в общем объеме собственного потребления воды из всех источников")</f>
        <v>Доля оборотного и повторно-последовательного водоснабжения в общем объеме собственного потребления воды из всех источников</v>
      </c>
      <c r="C12" s="53" t="s">
        <v>0</v>
      </c>
      <c r="D12" s="482" t="s">
        <v>185</v>
      </c>
      <c r="E12" s="482" t="s">
        <v>185</v>
      </c>
      <c r="F12" s="482" t="s">
        <v>185</v>
      </c>
      <c r="G12" s="895">
        <v>16</v>
      </c>
      <c r="H12" s="55"/>
      <c r="I12" s="56" t="str">
        <f>IF(Contents!$B$2=2,"PBCS 3","СОКБ 3")</f>
        <v>СОКБ 3</v>
      </c>
      <c r="J12" s="56"/>
      <c r="K12" s="277">
        <v>2</v>
      </c>
      <c r="L12" s="277"/>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row>
    <row r="13" spans="1:241" ht="54">
      <c r="A13" s="756"/>
      <c r="B13" s="52" t="str">
        <f>IF(Contents!$B$2=2,"Volume of polluted wastewater discharges into water bodies (polluted, normatively clean, normatively treated) and/or transferred polluted wastewater for treatment to other enterprises","Объем сбросов загрязненных сточных вод в водные объекты (загрязненных, нормативно чистых, нормативно очищенных) и/или переданных загрязненных стоков на очистку другим предприятиям")</f>
        <v>Объем сбросов загрязненных сточных вод в водные объекты (загрязненных, нормативно чистых, нормативно очищенных) и/или переданных загрязненных стоков на очистку другим предприятиям</v>
      </c>
      <c r="C13" s="53" t="str">
        <f>IF(Contents!$B$2=2,"th. cubic meters","тыс. куб. м")</f>
        <v>тыс. куб. м</v>
      </c>
      <c r="D13" s="147">
        <v>0</v>
      </c>
      <c r="E13" s="147">
        <v>0</v>
      </c>
      <c r="F13" s="147">
        <v>0</v>
      </c>
      <c r="G13" s="895">
        <v>0</v>
      </c>
      <c r="H13" s="55"/>
      <c r="I13" s="56" t="str">
        <f>IF(Contents!$B$2=2,"PBCS 4","СОКБ 4")</f>
        <v>СОКБ 4</v>
      </c>
      <c r="J13" s="56"/>
      <c r="K13" s="277">
        <v>2</v>
      </c>
      <c r="L13" s="56"/>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row>
    <row r="14" spans="1:241" ht="18">
      <c r="A14" s="756"/>
      <c r="B14" s="57"/>
      <c r="C14" s="12"/>
      <c r="D14" s="10"/>
      <c r="E14" s="10"/>
      <c r="F14" s="10"/>
      <c r="G14" s="10"/>
      <c r="H14" s="59"/>
      <c r="I14" s="60"/>
      <c r="J14" s="56"/>
      <c r="K14" s="56"/>
      <c r="L14" s="56"/>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row>
    <row r="15" spans="1:241">
      <c r="B15" s="768" t="str">
        <f>IF(Contents!$B$2=2,"Waste generation and movement","Образование и движение отходов")</f>
        <v>Образование и движение отходов</v>
      </c>
      <c r="C15" s="767"/>
      <c r="D15" s="663"/>
      <c r="E15" s="663"/>
      <c r="F15" s="663"/>
      <c r="G15" s="663"/>
      <c r="H15" s="29"/>
      <c r="I15" s="39"/>
      <c r="K15" s="766"/>
      <c r="M15" s="22"/>
    </row>
    <row r="16" spans="1:241" ht="18">
      <c r="A16" s="756"/>
      <c r="B16" s="52" t="str">
        <f>IF(Contents!$B$2=2,"Waste generation","Образование отходов")</f>
        <v>Образование отходов</v>
      </c>
      <c r="C16" s="12" t="str">
        <f>IF(Contents!$B$2=2,"th. tons","тыс. т")</f>
        <v>тыс. т</v>
      </c>
      <c r="D16" s="67">
        <v>91.034000000000006</v>
      </c>
      <c r="E16" s="67">
        <v>72.161999999999992</v>
      </c>
      <c r="F16" s="67">
        <v>117.65400000000001</v>
      </c>
      <c r="G16" s="894">
        <v>110.33499999999999</v>
      </c>
      <c r="H16" s="55"/>
      <c r="I16" s="56" t="str">
        <f>IF(Contents!$B$2=2,"PBCS 5","СОКБ 5")</f>
        <v>СОКБ 5</v>
      </c>
      <c r="J16" s="55"/>
      <c r="K16" s="277">
        <v>2</v>
      </c>
      <c r="L16" s="277"/>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row>
    <row r="17" spans="1:241">
      <c r="A17" s="756"/>
      <c r="B17" s="23" t="str">
        <f>IF(Contents!$B$2=2,"by environmental impact","по степени воздействия на окружающую среду")</f>
        <v>по степени воздействия на окружающую среду</v>
      </c>
      <c r="C17" s="13"/>
      <c r="D17" s="69"/>
      <c r="E17" s="69"/>
      <c r="F17" s="69"/>
      <c r="G17" s="69"/>
      <c r="H17" s="56"/>
      <c r="I17" s="606"/>
      <c r="J17" s="56"/>
      <c r="K17" s="56"/>
      <c r="L17" s="56"/>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row>
    <row r="18" spans="1:241" ht="18">
      <c r="A18" s="756"/>
      <c r="B18" s="41" t="str">
        <f>IF(Contents!$B$2=2,"Hazard class I","I класс опасности")</f>
        <v>I класс опасности</v>
      </c>
      <c r="C18" s="12" t="str">
        <f>IF(Contents!$B$2=2,"th. tons","тыс. т")</f>
        <v>тыс. т</v>
      </c>
      <c r="D18" s="765">
        <v>4.0000000000000001E-3</v>
      </c>
      <c r="E18" s="765">
        <v>2E-3</v>
      </c>
      <c r="F18" s="765">
        <v>4.0000000000000001E-3</v>
      </c>
      <c r="G18" s="896">
        <v>2E-3</v>
      </c>
      <c r="H18" s="71"/>
      <c r="I18" s="56" t="str">
        <f>IF(Contents!$B$2=2,"PBCS 5","СОКБ 5")</f>
        <v>СОКБ 5</v>
      </c>
      <c r="J18" s="71"/>
      <c r="K18" s="277">
        <v>2</v>
      </c>
      <c r="L18" s="308"/>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row>
    <row r="19" spans="1:241" ht="18">
      <c r="A19" s="756"/>
      <c r="B19" s="41" t="str">
        <f>IF(Contents!$B$2=2,"Hazard class II","II класс опасности")</f>
        <v>II класс опасности</v>
      </c>
      <c r="C19" s="12" t="str">
        <f>IF(Contents!$B$2=2,"th. tons","тыс. т")</f>
        <v>тыс. т</v>
      </c>
      <c r="D19" s="764">
        <v>0.03</v>
      </c>
      <c r="E19" s="764">
        <v>0.06</v>
      </c>
      <c r="F19" s="764">
        <v>0.15</v>
      </c>
      <c r="G19" s="680">
        <v>0.126</v>
      </c>
      <c r="H19" s="55"/>
      <c r="I19" s="56" t="str">
        <f>IF(Contents!$B$2=2,"PBCS 5","СОКБ 5")</f>
        <v>СОКБ 5</v>
      </c>
      <c r="J19" s="55"/>
      <c r="K19" s="277">
        <v>2</v>
      </c>
      <c r="L19" s="55"/>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row>
    <row r="20" spans="1:241" ht="18">
      <c r="A20" s="756"/>
      <c r="B20" s="41" t="str">
        <f>IF(Contents!$B$2=2,"Hazard class III","III класс опасности")</f>
        <v>III класс опасности</v>
      </c>
      <c r="C20" s="12" t="str">
        <f>IF(Contents!$B$2=2,"th. tons","тыс. т")</f>
        <v>тыс. т</v>
      </c>
      <c r="D20" s="72">
        <v>2</v>
      </c>
      <c r="E20" s="72">
        <v>2.7</v>
      </c>
      <c r="F20" s="72">
        <v>23.6</v>
      </c>
      <c r="G20" s="897">
        <v>23.344999999999999</v>
      </c>
      <c r="H20" s="55"/>
      <c r="I20" s="56" t="str">
        <f>IF(Contents!$B$2=2,"PBCS 5","СОКБ 5")</f>
        <v>СОКБ 5</v>
      </c>
      <c r="J20" s="55"/>
      <c r="K20" s="277">
        <v>2</v>
      </c>
      <c r="L20" s="55"/>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row>
    <row r="21" spans="1:241" ht="18">
      <c r="A21" s="756"/>
      <c r="B21" s="41" t="str">
        <f>IF(Contents!$B$2=2,"Hazard class IV","IV класс опасности")</f>
        <v>IV класс опасности</v>
      </c>
      <c r="C21" s="12" t="str">
        <f>IF(Contents!$B$2=2,"th. tons","тыс. т")</f>
        <v>тыс. т</v>
      </c>
      <c r="D21" s="72">
        <v>85.2</v>
      </c>
      <c r="E21" s="72">
        <v>65.3</v>
      </c>
      <c r="F21" s="72">
        <v>87.7</v>
      </c>
      <c r="G21" s="897">
        <v>81.453999999999994</v>
      </c>
      <c r="H21" s="55"/>
      <c r="I21" s="56" t="str">
        <f>IF(Contents!$B$2=2,"PBCS 5","СОКБ 5")</f>
        <v>СОКБ 5</v>
      </c>
      <c r="J21" s="55"/>
      <c r="K21" s="277">
        <v>2</v>
      </c>
      <c r="L21" s="55"/>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row>
    <row r="22" spans="1:241" ht="18">
      <c r="A22" s="756"/>
      <c r="B22" s="41" t="str">
        <f>IF(Contents!$B$2=2,"Hazard class V","V класс опасности")</f>
        <v>V класс опасности</v>
      </c>
      <c r="C22" s="12" t="str">
        <f>IF(Contents!$B$2=2,"th. tons","тыс. т")</f>
        <v>тыс. т</v>
      </c>
      <c r="D22" s="72">
        <v>3.8</v>
      </c>
      <c r="E22" s="72">
        <v>4.0999999999999996</v>
      </c>
      <c r="F22" s="72">
        <v>6.2</v>
      </c>
      <c r="G22" s="897">
        <v>5.4080000000000004</v>
      </c>
      <c r="H22" s="55"/>
      <c r="I22" s="56" t="str">
        <f>IF(Contents!$B$2=2,"PBCS 5","СОКБ 5")</f>
        <v>СОКБ 5</v>
      </c>
      <c r="J22" s="55"/>
      <c r="K22" s="277">
        <v>2</v>
      </c>
      <c r="L22" s="55"/>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row>
    <row r="23" spans="1:241" ht="18">
      <c r="A23" s="756"/>
      <c r="B23" s="52" t="str">
        <f>IF(Contents!$B$2=2,"Waste movement","Движение отходов")</f>
        <v>Движение отходов</v>
      </c>
      <c r="C23" s="12"/>
      <c r="D23" s="54"/>
      <c r="E23" s="54"/>
      <c r="F23" s="54"/>
      <c r="G23" s="54"/>
      <c r="H23" s="55"/>
      <c r="I23" s="55"/>
      <c r="J23" s="55"/>
      <c r="K23" s="55"/>
      <c r="L23" s="55"/>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row>
    <row r="24" spans="1:241">
      <c r="A24" s="756"/>
      <c r="B24" s="23" t="str">
        <f>IF(Contents!$B$2=2,"by direction","по направлениям")</f>
        <v>по направлениям</v>
      </c>
      <c r="C24" s="13"/>
      <c r="D24" s="73"/>
      <c r="E24" s="73"/>
      <c r="F24" s="73"/>
      <c r="G24" s="73"/>
      <c r="H24" s="56"/>
      <c r="I24" s="56"/>
      <c r="J24" s="56"/>
      <c r="K24" s="56"/>
      <c r="L24" s="56"/>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row>
    <row r="25" spans="1:241" ht="18">
      <c r="A25" s="756"/>
      <c r="B25" s="41" t="str">
        <f>IF(Contents!$B$2=2,"Reused","Повторно использовано")</f>
        <v>Повторно использовано</v>
      </c>
      <c r="C25" s="12" t="str">
        <f>IF(Contents!$B$2=2,"th. tons","тыс. т")</f>
        <v>тыс. т</v>
      </c>
      <c r="D25" s="67">
        <v>0</v>
      </c>
      <c r="E25" s="67">
        <v>0</v>
      </c>
      <c r="F25" s="67">
        <v>0</v>
      </c>
      <c r="G25" s="894">
        <v>0</v>
      </c>
      <c r="H25" s="71"/>
      <c r="I25" s="56" t="str">
        <f>IF(Contents!$B$2=2,"PBCS 6","СОКБ 6")</f>
        <v>СОКБ 6</v>
      </c>
      <c r="J25" s="71"/>
      <c r="K25" s="277">
        <v>2</v>
      </c>
      <c r="L25" s="308"/>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3"/>
      <c r="FJ25" s="43"/>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row>
    <row r="26" spans="1:241" ht="18">
      <c r="A26" s="756"/>
      <c r="B26" s="41" t="str">
        <f>IF(Contents!$B$2=2,"Processed (recycled)","Утилизировано (переработано)")</f>
        <v>Утилизировано (переработано)</v>
      </c>
      <c r="C26" s="12" t="str">
        <f>IF(Contents!$B$2=2,"th. tons","тыс. т")</f>
        <v>тыс. т</v>
      </c>
      <c r="D26" s="67">
        <v>85.9</v>
      </c>
      <c r="E26" s="67">
        <v>58.7</v>
      </c>
      <c r="F26" s="67">
        <v>86.7</v>
      </c>
      <c r="G26" s="894">
        <v>76.2</v>
      </c>
      <c r="H26" s="55"/>
      <c r="I26" s="56" t="str">
        <f>IF(Contents!$B$2=2,"PBCS 6","СОКБ 6")</f>
        <v>СОКБ 6</v>
      </c>
      <c r="J26" s="55"/>
      <c r="K26" s="277">
        <v>2</v>
      </c>
      <c r="L26" s="55"/>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row>
    <row r="27" spans="1:241" ht="18">
      <c r="A27" s="756"/>
      <c r="B27" s="41" t="str">
        <f>IF(Contents!$B$2=2,"Decontaminated","Обезврежено")</f>
        <v>Обезврежено</v>
      </c>
      <c r="C27" s="12" t="str">
        <f>IF(Contents!$B$2=2,"th. tons","тыс. т")</f>
        <v>тыс. т</v>
      </c>
      <c r="D27" s="67">
        <v>7.8</v>
      </c>
      <c r="E27" s="67">
        <v>8.4</v>
      </c>
      <c r="F27" s="67">
        <v>29.1</v>
      </c>
      <c r="G27" s="894">
        <v>26.9</v>
      </c>
      <c r="H27" s="55"/>
      <c r="I27" s="56" t="str">
        <f>IF(Contents!$B$2=2,"PBCS 6","СОКБ 6")</f>
        <v>СОКБ 6</v>
      </c>
      <c r="J27" s="55"/>
      <c r="K27" s="277">
        <v>2</v>
      </c>
      <c r="L27" s="55"/>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3"/>
      <c r="FJ27" s="43"/>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row>
    <row r="28" spans="1:241" ht="18">
      <c r="A28" s="756"/>
      <c r="B28" s="41" t="str">
        <f>IF(Contents!$B$2=2,"Disposed","Размещено")</f>
        <v>Размещено</v>
      </c>
      <c r="C28" s="12" t="str">
        <f>IF(Contents!$B$2=2,"th. tons","тыс. т")</f>
        <v>тыс. т</v>
      </c>
      <c r="D28" s="67">
        <v>1.1000000000000001</v>
      </c>
      <c r="E28" s="67">
        <v>1.7</v>
      </c>
      <c r="F28" s="67">
        <v>2</v>
      </c>
      <c r="G28" s="894">
        <v>1.3</v>
      </c>
      <c r="H28" s="55"/>
      <c r="I28" s="56" t="str">
        <f>IF(Contents!$B$2=2,"PBCS 6","СОКБ 6")</f>
        <v>СОКБ 6</v>
      </c>
      <c r="J28" s="55"/>
      <c r="K28" s="277">
        <v>2</v>
      </c>
      <c r="L28" s="55"/>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row>
    <row r="29" spans="1:241" ht="18">
      <c r="A29" s="756"/>
      <c r="B29" s="41"/>
      <c r="C29" s="12"/>
      <c r="D29" s="74"/>
      <c r="E29" s="74"/>
      <c r="F29" s="74"/>
      <c r="G29" s="74"/>
      <c r="H29" s="55"/>
      <c r="I29" s="55"/>
      <c r="J29" s="55"/>
      <c r="K29" s="55"/>
      <c r="L29" s="55"/>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row>
    <row r="30" spans="1:241" ht="18">
      <c r="A30" s="756"/>
      <c r="B30" s="75" t="str">
        <f>IF(Contents!$B$2=2,"Emissions of pollutants","Выбросы загрязняющих веществ")</f>
        <v>Выбросы загрязняющих веществ</v>
      </c>
      <c r="C30" s="42"/>
      <c r="D30" s="763"/>
      <c r="E30" s="763"/>
      <c r="F30" s="763"/>
      <c r="G30" s="763"/>
      <c r="H30" s="64"/>
      <c r="I30" s="56"/>
      <c r="J30" s="56"/>
      <c r="K30" s="277"/>
      <c r="L30" s="277"/>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row>
    <row r="31" spans="1:241" ht="36">
      <c r="A31" s="756"/>
      <c r="B31" s="52" t="str">
        <f>IF(Contents!$B$2=2,"Air pollutant emissions from stationary sources","Масса выбросов загрязняющих веществ в атмосферный воздух от стационарных источников")</f>
        <v>Масса выбросов загрязняющих веществ в атмосферный воздух от стационарных источников</v>
      </c>
      <c r="C31" s="12" t="str">
        <f>IF(Contents!$B$2=2,"th. tons","тыс. т")</f>
        <v>тыс. т</v>
      </c>
      <c r="D31" s="67">
        <v>70.8</v>
      </c>
      <c r="E31" s="67">
        <v>65.8</v>
      </c>
      <c r="F31" s="67">
        <v>56</v>
      </c>
      <c r="G31" s="894">
        <v>80.327621187118595</v>
      </c>
      <c r="H31" s="55"/>
      <c r="I31" s="56" t="str">
        <f>IF(Contents!$B$2=2,"PBCS 7","СОКБ 7")</f>
        <v>СОКБ 7</v>
      </c>
      <c r="J31" s="55"/>
      <c r="K31" s="277">
        <v>2</v>
      </c>
      <c r="L31" s="277"/>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row>
    <row r="32" spans="1:241" ht="18">
      <c r="A32" s="756"/>
      <c r="B32" s="11"/>
      <c r="C32" s="76"/>
      <c r="D32" s="545"/>
      <c r="E32" s="545"/>
      <c r="F32" s="545"/>
      <c r="G32" s="545"/>
      <c r="H32" s="59"/>
      <c r="I32" s="60"/>
      <c r="J32" s="297"/>
      <c r="K32" s="297"/>
      <c r="L32" s="29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row>
    <row r="33" spans="1:13">
      <c r="A33" s="756"/>
      <c r="B33" s="48" t="str">
        <f>IF(Contents!$B$2=2,"Greenhouse gas emissions","Выбросы парниковых газов")</f>
        <v>Выбросы парниковых газов</v>
      </c>
      <c r="C33" s="49" t="str">
        <f>IF(Contents!$B$2=2,"th. tons of CO₂ eq.","тыс. т CO₂-экв.")</f>
        <v>тыс. т CO₂-экв.</v>
      </c>
      <c r="D33" s="762">
        <v>9589.8000000000011</v>
      </c>
      <c r="E33" s="762">
        <v>9655.6999999999989</v>
      </c>
      <c r="F33" s="762">
        <v>9750</v>
      </c>
      <c r="G33" s="762">
        <v>9822.35</v>
      </c>
      <c r="H33" s="394"/>
      <c r="I33" s="56" t="str">
        <f>IF(Contents!$B$2=2,"PBCS 8","СОКБ 8")</f>
        <v>СОКБ 8</v>
      </c>
      <c r="K33" s="277">
        <v>2</v>
      </c>
      <c r="M33" s="22"/>
    </row>
    <row r="34" spans="1:13">
      <c r="A34" s="756"/>
      <c r="B34" s="23" t="str">
        <f>IF(Contents!$B$2=2,"by Scopes","по охватам")</f>
        <v>по охватам</v>
      </c>
      <c r="C34" s="77"/>
      <c r="D34" s="77"/>
      <c r="E34" s="77"/>
      <c r="F34" s="77"/>
      <c r="G34" s="77"/>
      <c r="H34" s="29"/>
      <c r="I34" s="39"/>
      <c r="K34" s="558"/>
      <c r="M34" s="22"/>
    </row>
    <row r="35" spans="1:13">
      <c r="A35" s="756"/>
      <c r="B35" s="78" t="str">
        <f>IF(Contents!$B$2=2,"Scope 1","Область охвата 1")</f>
        <v>Область охвата 1</v>
      </c>
      <c r="C35" s="53" t="str">
        <f>IF(Contents!$B$2=2,"th. tons of CO₂ eq.","тыс. т CO₂-экв.")</f>
        <v>тыс. т CO₂-экв.</v>
      </c>
      <c r="D35" s="282">
        <v>9423.2000000000007</v>
      </c>
      <c r="E35" s="282">
        <v>9482.2999999999993</v>
      </c>
      <c r="F35" s="282">
        <v>9571.9</v>
      </c>
      <c r="G35" s="893">
        <v>9626.4500000000007</v>
      </c>
      <c r="H35" s="55"/>
      <c r="I35" s="56" t="str">
        <f>IF(Contents!$B$2=2,"PBCS 8","СОКБ 8")</f>
        <v>СОКБ 8</v>
      </c>
      <c r="K35" s="277">
        <v>2</v>
      </c>
      <c r="M35" s="22"/>
    </row>
    <row r="36" spans="1:13">
      <c r="A36" s="140"/>
      <c r="B36" s="78" t="str">
        <f>IF(Contents!$B$2=2,"Scope 2","Область охвата 2")</f>
        <v>Область охвата 2</v>
      </c>
      <c r="C36" s="53" t="str">
        <f>IF(Contents!$B$2=2,"th. tons of CO₂ eq.","тыс. т CO₂-экв.")</f>
        <v>тыс. т CO₂-экв.</v>
      </c>
      <c r="D36" s="67">
        <v>166.6</v>
      </c>
      <c r="E36" s="67">
        <v>173.4</v>
      </c>
      <c r="F36" s="67">
        <v>178.1</v>
      </c>
      <c r="G36" s="894">
        <v>195.9</v>
      </c>
      <c r="H36" s="55"/>
      <c r="I36" s="56" t="str">
        <f>IF(Contents!$B$2=2,"PBCS 8","СОКБ 8")</f>
        <v>СОКБ 8</v>
      </c>
      <c r="K36" s="277">
        <v>2</v>
      </c>
      <c r="M36" s="22"/>
    </row>
    <row r="37" spans="1:13">
      <c r="B37" s="78"/>
      <c r="C37" s="53"/>
      <c r="D37" s="80"/>
      <c r="E37" s="80"/>
      <c r="F37" s="80"/>
      <c r="G37" s="80"/>
      <c r="H37" s="29"/>
      <c r="I37" s="39"/>
      <c r="K37" s="558"/>
      <c r="M37" s="22"/>
    </row>
    <row r="38" spans="1:13">
      <c r="B38" s="25" t="str">
        <f>IF(Contents!$B$2=2,"Notes:","Примечания:")</f>
        <v>Примечания:</v>
      </c>
      <c r="C38" s="53"/>
      <c r="D38" s="80"/>
      <c r="E38" s="80"/>
      <c r="F38" s="80"/>
      <c r="G38" s="80"/>
      <c r="H38" s="29"/>
      <c r="I38" s="39"/>
      <c r="K38" s="558"/>
      <c r="M38" s="22"/>
    </row>
    <row r="39" spans="1:13">
      <c r="B39" s="26" t="str">
        <f>IF(Contents!$B$2=2, C40, B40)</f>
        <v>Расчет косвенных энергетических выбросов (область охвата 2) произведен по методу, основанному на местоположении. Данный метод отражает среднюю интенсивность выбросов в сетях по региону, из которых осуществляется потребление электроэнергии.
Расчет произведен в соответствии с методологией «Концепция расчета и публикации коэффициентов выбросов парниковых газов энергосистемы РФ». Данная методология была разработана в 2022 году Ассоциацией «НП Совет рынка» и АО «АТС» и получила международное заключение о валидации.</v>
      </c>
      <c r="C39" s="53"/>
      <c r="D39" s="83"/>
      <c r="E39" s="83"/>
      <c r="F39" s="83"/>
      <c r="G39" s="83"/>
      <c r="H39" s="29"/>
      <c r="I39" s="39"/>
      <c r="K39" s="558"/>
      <c r="M39" s="22"/>
    </row>
    <row r="40" spans="1:13">
      <c r="B40" s="113" t="s">
        <v>8</v>
      </c>
      <c r="C40" s="227" t="s">
        <v>33</v>
      </c>
      <c r="D40" s="83"/>
      <c r="E40" s="83"/>
      <c r="F40" s="83"/>
      <c r="G40" s="83"/>
      <c r="H40" s="29"/>
      <c r="I40" s="39"/>
      <c r="K40" s="558"/>
      <c r="M40" s="817"/>
    </row>
    <row r="41" spans="1:13">
      <c r="B41" s="48" t="str">
        <f>IF(Contents!$B$2=2,"Product carbon footprint","Углеродный след продукции")</f>
        <v>Углеродный след продукции</v>
      </c>
      <c r="C41" s="399" t="str">
        <f>IF(Contents!$B$2=2,"tons of CO₂ eq. / tons of LNG","т CO₂-экв. / т СПГ")</f>
        <v>т CO₂-экв. / т СПГ</v>
      </c>
      <c r="D41" s="761"/>
      <c r="E41" s="761"/>
      <c r="F41" s="761"/>
      <c r="G41" s="761"/>
      <c r="H41" s="29"/>
      <c r="I41" s="56" t="str">
        <f>IF(Contents!$B$2=2,"PBCS 9","СОКБ 9")</f>
        <v>СОКБ 9</v>
      </c>
      <c r="K41" s="277">
        <v>2</v>
      </c>
      <c r="M41" s="22"/>
    </row>
    <row r="42" spans="1:13">
      <c r="B42" s="23" t="str">
        <f>IF(Contents!$B$2=2,"by stages of the product life cycle","по этапам жизненного цикла продукции")</f>
        <v>по этапам жизненного цикла продукции</v>
      </c>
      <c r="C42" s="760"/>
      <c r="D42" s="759"/>
      <c r="E42" s="759"/>
      <c r="F42" s="759"/>
      <c r="G42" s="759"/>
      <c r="H42" s="29"/>
      <c r="I42" s="39"/>
      <c r="K42" s="558"/>
      <c r="M42" s="22"/>
    </row>
    <row r="43" spans="1:13">
      <c r="B43" s="78" t="str">
        <f>IF(Contents!$B$2=2,"Production stage (Scope 1)","Этап добычи (область охвата 1)")</f>
        <v>Этап добычи (область охвата 1)</v>
      </c>
      <c r="C43" s="388" t="str">
        <f>IF(Contents!$B$2=2,"tons of CO₂ eq. / tons of LNG","т CO₂-экв. / т СПГ")</f>
        <v>т CO₂-экв. / т СПГ</v>
      </c>
      <c r="D43" s="79" t="s">
        <v>185</v>
      </c>
      <c r="E43" s="79" t="s">
        <v>185</v>
      </c>
      <c r="F43" s="79">
        <v>17.899999999999999</v>
      </c>
      <c r="G43" s="923">
        <v>32</v>
      </c>
      <c r="H43" s="29"/>
      <c r="I43" s="56" t="str">
        <f>IF(Contents!$B$2=2,"PBCS 9","СОКБ 9")</f>
        <v>СОКБ 9</v>
      </c>
      <c r="K43" s="277">
        <v>2</v>
      </c>
      <c r="M43" s="22"/>
    </row>
    <row r="44" spans="1:13">
      <c r="B44" s="78" t="str">
        <f>IF(Contents!$B$2=2,"Collection and transport stage (Scope 1)","Этап сбора и транспортировки (область охвата 1)")</f>
        <v>Этап сбора и транспортировки (область охвата 1)</v>
      </c>
      <c r="C44" s="388" t="str">
        <f>IF(Contents!$B$2=2,"tons of CO₂ eq. / tons of LNG","т CO₂-экв. / т СПГ")</f>
        <v>т CO₂-экв. / т СПГ</v>
      </c>
      <c r="D44" s="79" t="s">
        <v>185</v>
      </c>
      <c r="E44" s="79" t="s">
        <v>185</v>
      </c>
      <c r="F44" s="79">
        <v>0.4</v>
      </c>
      <c r="G44" s="923">
        <v>0.9</v>
      </c>
      <c r="H44" s="29"/>
      <c r="I44" s="56" t="str">
        <f>IF(Contents!$B$2=2,"PBCS 9","СОКБ 9")</f>
        <v>СОКБ 9</v>
      </c>
      <c r="K44" s="277">
        <v>2</v>
      </c>
      <c r="M44" s="22"/>
    </row>
    <row r="45" spans="1:13">
      <c r="B45" s="78" t="str">
        <f>IF(Contents!$B$2=2,"Liquefaction, storage and loading stage (Scope 1)","Этап сжижения, хранения и погрузки (область охвата 1)")</f>
        <v>Этап сжижения, хранения и погрузки (область охвата 1)</v>
      </c>
      <c r="C45" s="388" t="str">
        <f>IF(Contents!$B$2=2,"tons of CO₂ eq. / tons of LNG","т CO₂-экв. / т СПГ")</f>
        <v>т CO₂-экв. / т СПГ</v>
      </c>
      <c r="D45" s="79" t="s">
        <v>185</v>
      </c>
      <c r="E45" s="79" t="s">
        <v>185</v>
      </c>
      <c r="F45" s="79">
        <v>223.9</v>
      </c>
      <c r="G45" s="923">
        <v>240</v>
      </c>
      <c r="H45" s="29"/>
      <c r="I45" s="56" t="str">
        <f>IF(Contents!$B$2=2,"PBCS 9","СОКБ 9")</f>
        <v>СОКБ 9</v>
      </c>
      <c r="K45" s="277">
        <v>2</v>
      </c>
      <c r="M45" s="22"/>
    </row>
    <row r="46" spans="1:13">
      <c r="B46" s="78"/>
      <c r="C46" s="388"/>
      <c r="D46" s="79"/>
      <c r="E46" s="79"/>
      <c r="F46" s="79"/>
      <c r="G46" s="79"/>
      <c r="H46" s="29"/>
      <c r="I46" s="39"/>
      <c r="K46" s="558"/>
      <c r="M46" s="22"/>
    </row>
    <row r="47" spans="1:13">
      <c r="B47" s="25" t="str">
        <f>IF(Contents!$B$2=2,"Notes:","Примечания:")</f>
        <v>Примечания:</v>
      </c>
      <c r="C47" s="53"/>
      <c r="D47" s="79"/>
      <c r="E47" s="79"/>
      <c r="F47" s="79"/>
      <c r="G47" s="79"/>
      <c r="H47" s="29"/>
      <c r="I47" s="39"/>
      <c r="K47" s="558"/>
      <c r="M47" s="22"/>
    </row>
    <row r="48" spans="1:13">
      <c r="B48" s="26" t="str">
        <f>IF(Contents!$B$2=2,"Product carbon footprint values are given for LNG produced at the Yamal LNG project.","Значения углеродного следа продукции приведены для СПГ, произведенного на проекте Ямал СПГ.")</f>
        <v>Значения углеродного следа продукции приведены для СПГ, произведенного на проекте Ямал СПГ.</v>
      </c>
      <c r="C48" s="53"/>
      <c r="D48" s="79"/>
      <c r="E48" s="79"/>
      <c r="F48" s="79"/>
      <c r="G48" s="79"/>
      <c r="H48" s="29"/>
      <c r="I48" s="39"/>
      <c r="K48" s="558"/>
      <c r="M48" s="22"/>
    </row>
    <row r="49" spans="2:13">
      <c r="B49" s="78"/>
      <c r="C49" s="53"/>
      <c r="D49" s="79"/>
      <c r="E49" s="79"/>
      <c r="F49" s="79"/>
      <c r="G49" s="79"/>
      <c r="H49" s="29"/>
      <c r="I49" s="39"/>
      <c r="K49" s="558"/>
      <c r="M49" s="22"/>
    </row>
    <row r="50" spans="2:13">
      <c r="B50" s="48" t="str">
        <f>IF(Contents!$B$2=2,"Energy and fuel consumption","Потребление энергии и топлива")</f>
        <v>Потребление энергии и топлива</v>
      </c>
      <c r="C50" s="49"/>
      <c r="D50" s="50"/>
      <c r="E50" s="50"/>
      <c r="F50" s="51"/>
      <c r="G50" s="51"/>
      <c r="H50" s="29"/>
      <c r="I50" s="39"/>
      <c r="K50" s="558"/>
      <c r="M50" s="22"/>
    </row>
    <row r="51" spans="2:13">
      <c r="B51" s="52" t="str">
        <f>IF(Contents!$B$2=2,"Volume of renewable and low-carbon energy consumption","Объем потребления возобновляемой и низкоуглеродной энергии")</f>
        <v>Объем потребления возобновляемой и низкоуглеродной энергии</v>
      </c>
      <c r="C51" s="53" t="str">
        <f>IF(Contents!$B$2=2,"GJ","ГДж")</f>
        <v>ГДж</v>
      </c>
      <c r="D51" s="107">
        <v>83661</v>
      </c>
      <c r="E51" s="107">
        <v>229275.8046</v>
      </c>
      <c r="F51" s="107">
        <v>544465.126590534</v>
      </c>
      <c r="G51" s="793">
        <v>1320.981804</v>
      </c>
      <c r="H51" s="29"/>
      <c r="I51" s="56" t="str">
        <f>IF(Contents!$B$2=2,"PBCS 12","СОКБ 11")</f>
        <v>СОКБ 11</v>
      </c>
      <c r="K51" s="277">
        <v>2</v>
      </c>
      <c r="M51" s="22"/>
    </row>
    <row r="52" spans="2:13" ht="36">
      <c r="B52" s="52" t="str">
        <f>IF(Contents!$B$2=2,"Own energy consumption, excluding heat and electricity supply to external consumers","Собственное энергопотребление, без учета отпуска тепла и электроэнергии внешним потребителям")</f>
        <v>Собственное энергопотребление, без учета отпуска тепла и электроэнергии внешним потребителям</v>
      </c>
      <c r="C52" s="53" t="str">
        <f>IF(Contents!$B$2=2,"GJ","ГДж")</f>
        <v>ГДж</v>
      </c>
      <c r="D52" s="107">
        <v>16685781</v>
      </c>
      <c r="E52" s="107">
        <v>12256820</v>
      </c>
      <c r="F52" s="107">
        <v>13141118</v>
      </c>
      <c r="G52" s="793">
        <v>14151321</v>
      </c>
      <c r="H52" s="29"/>
      <c r="I52" s="56" t="str">
        <f>IF(Contents!$B$2=2,"PBCS 12","СОКБ 12")</f>
        <v>СОКБ 12</v>
      </c>
      <c r="K52" s="277">
        <v>2</v>
      </c>
      <c r="M52" s="22"/>
    </row>
    <row r="53" spans="2:13">
      <c r="B53" s="23" t="str">
        <f>IF(Contents!$B$2=2,"by type","по видам")</f>
        <v>по видам</v>
      </c>
      <c r="C53" s="77" t="str">
        <f>IF(Contents!$B$2=2,"GJ","ГДж")</f>
        <v>ГДж</v>
      </c>
      <c r="D53" s="758"/>
      <c r="E53" s="758"/>
      <c r="F53" s="758"/>
      <c r="G53" s="758"/>
      <c r="H53" s="29"/>
      <c r="I53" s="39"/>
      <c r="K53" s="558"/>
      <c r="M53" s="22"/>
    </row>
    <row r="54" spans="2:13">
      <c r="B54" s="78" t="str">
        <f>IF(Contents!$B$2=2,"Heat","Тепловой энергии")</f>
        <v>Тепловой энергии</v>
      </c>
      <c r="C54" s="53" t="str">
        <f>IF(Contents!$B$2=2,"GJ","ГДж")</f>
        <v>ГДж</v>
      </c>
      <c r="D54" s="107">
        <v>3557194</v>
      </c>
      <c r="E54" s="107">
        <v>3008000</v>
      </c>
      <c r="F54" s="107">
        <v>3240000</v>
      </c>
      <c r="G54" s="793">
        <v>3840000</v>
      </c>
      <c r="H54" s="29"/>
      <c r="I54" s="56" t="str">
        <f>IF(Contents!$B$2=2,"PBCS 13","СОКБ 12")</f>
        <v>СОКБ 12</v>
      </c>
      <c r="K54" s="277">
        <v>2</v>
      </c>
      <c r="M54" s="22"/>
    </row>
    <row r="55" spans="2:13">
      <c r="B55" s="78" t="str">
        <f>IF(Contents!$B$2=2,"Electricity","Электроэнергия")</f>
        <v>Электроэнергия</v>
      </c>
      <c r="C55" s="53" t="str">
        <f>IF(Contents!$B$2=2,"GJ","ГДж")</f>
        <v>ГДж</v>
      </c>
      <c r="D55" s="107">
        <v>13128587</v>
      </c>
      <c r="E55" s="107">
        <v>9248820</v>
      </c>
      <c r="F55" s="107">
        <v>9901118</v>
      </c>
      <c r="G55" s="793">
        <v>10311321</v>
      </c>
      <c r="H55" s="29"/>
      <c r="I55" s="56" t="str">
        <f>IF(Contents!$B$2=2,"PBCS 13","СОКБ 12")</f>
        <v>СОКБ 12</v>
      </c>
      <c r="K55" s="277">
        <v>2</v>
      </c>
      <c r="M55" s="22"/>
    </row>
    <row r="56" spans="2:13">
      <c r="B56" s="23" t="str">
        <f>IF(Contents!$B$2=2,"by type of fuel used","по видам использованного топлива")</f>
        <v>по видам использованного топлива</v>
      </c>
      <c r="C56" s="77" t="str">
        <f>IF(Contents!$B$2=2,"GJ","ГДж")</f>
        <v>ГДж</v>
      </c>
      <c r="D56" s="92">
        <f>SUM(D57:D60)</f>
        <v>188222272</v>
      </c>
      <c r="E56" s="92">
        <f>SUM(E57:E60)</f>
        <v>141431858</v>
      </c>
      <c r="F56" s="92">
        <f>SUM(F57:F60)</f>
        <v>146968969</v>
      </c>
      <c r="G56" s="92">
        <f>SUM(G57:G60)</f>
        <v>159654730</v>
      </c>
      <c r="H56" s="29"/>
      <c r="I56" s="39"/>
      <c r="K56" s="558"/>
      <c r="M56" s="22"/>
    </row>
    <row r="57" spans="2:13">
      <c r="B57" s="757" t="str">
        <f>IF(Contents!$B$2=2,"Natural gas to produce heat and electricity","Природный газ для производства тепла и электроэнергии")</f>
        <v>Природный газ для производства тепла и электроэнергии</v>
      </c>
      <c r="C57" s="53" t="str">
        <f>IF(Contents!$B$2=2,"GJ","ГДж")</f>
        <v>ГДж</v>
      </c>
      <c r="D57" s="107">
        <v>40517582</v>
      </c>
      <c r="E57" s="107">
        <v>26807053</v>
      </c>
      <c r="F57" s="107">
        <v>33071063</v>
      </c>
      <c r="G57" s="793">
        <v>32309451</v>
      </c>
      <c r="H57" s="29"/>
      <c r="I57" s="56" t="str">
        <f>IF(Contents!$B$2=2,"PBCS 13","СОКБ 12")</f>
        <v>СОКБ 12</v>
      </c>
      <c r="K57" s="277">
        <v>2</v>
      </c>
      <c r="M57" s="22"/>
    </row>
    <row r="58" spans="2:13">
      <c r="B58" s="757" t="str">
        <f>IF(Contents!$B$2=2,"Natural gas for the Company's own technological needs","Природный газ для собственных технологических нужд Компании")</f>
        <v>Природный газ для собственных технологических нужд Компании</v>
      </c>
      <c r="C58" s="53" t="str">
        <f>IF(Contents!$B$2=2,"GJ","ГДж")</f>
        <v>ГДж</v>
      </c>
      <c r="D58" s="107">
        <v>143178190</v>
      </c>
      <c r="E58" s="107">
        <v>107789355</v>
      </c>
      <c r="F58" s="107">
        <v>106735113</v>
      </c>
      <c r="G58" s="793">
        <v>119459552</v>
      </c>
      <c r="H58" s="29"/>
      <c r="I58" s="56" t="str">
        <f>IF(Contents!$B$2=2,"PBCS 13","СОКБ 12")</f>
        <v>СОКБ 12</v>
      </c>
      <c r="K58" s="277">
        <v>2</v>
      </c>
      <c r="M58" s="22"/>
    </row>
    <row r="59" spans="2:13">
      <c r="B59" s="757" t="str">
        <f>IF(Contents!$B$2=2,"Butane fraction","Бутановая фракция")</f>
        <v>Бутановая фракция</v>
      </c>
      <c r="C59" s="53" t="str">
        <f>IF(Contents!$B$2=2,"GJ","ГДж")</f>
        <v>ГДж</v>
      </c>
      <c r="D59" s="107">
        <v>4526500</v>
      </c>
      <c r="E59" s="107">
        <v>6271804</v>
      </c>
      <c r="F59" s="107">
        <v>6568031</v>
      </c>
      <c r="G59" s="793">
        <v>7305427</v>
      </c>
      <c r="H59" s="29"/>
      <c r="I59" s="56" t="str">
        <f>IF(Contents!$B$2=2,"PBCS 13","СОКБ 12")</f>
        <v>СОКБ 12</v>
      </c>
      <c r="K59" s="277">
        <v>2</v>
      </c>
      <c r="M59" s="22"/>
    </row>
    <row r="60" spans="2:13">
      <c r="B60" s="757" t="str">
        <f>IF(Contents!$B$2=2,"Marine fuel component","Компонент судового топлива")</f>
        <v>Компонент судового топлива</v>
      </c>
      <c r="C60" s="53" t="str">
        <f>IF(Contents!$B$2=2,"GJ","ГДж")</f>
        <v>ГДж</v>
      </c>
      <c r="D60" s="107" t="s">
        <v>185</v>
      </c>
      <c r="E60" s="107">
        <v>563646</v>
      </c>
      <c r="F60" s="107">
        <v>594762</v>
      </c>
      <c r="G60" s="793">
        <v>580300</v>
      </c>
      <c r="H60" s="29"/>
      <c r="I60" s="56" t="str">
        <f>IF(Contents!$B$2=2,"PBCS 13","СОКБ 12")</f>
        <v>СОКБ 12</v>
      </c>
      <c r="K60" s="277">
        <v>2</v>
      </c>
      <c r="M60" s="22"/>
    </row>
    <row r="61" spans="2:13">
      <c r="B61" s="757"/>
      <c r="C61" s="53"/>
      <c r="D61" s="86"/>
      <c r="E61" s="86"/>
      <c r="F61" s="86"/>
      <c r="G61" s="86"/>
      <c r="H61" s="29"/>
      <c r="I61" s="39"/>
      <c r="K61" s="558"/>
      <c r="M61" s="22"/>
    </row>
    <row r="62" spans="2:13">
      <c r="B62" s="25" t="str">
        <f>IF(Contents!$B$2=2,"Notes:","Примечания:")</f>
        <v>Примечания:</v>
      </c>
      <c r="C62" s="53"/>
      <c r="D62" s="86"/>
      <c r="E62" s="86"/>
      <c r="F62" s="86"/>
      <c r="G62" s="86"/>
      <c r="H62" s="29"/>
      <c r="I62" s="39"/>
      <c r="K62" s="558"/>
      <c r="M62" s="22"/>
    </row>
    <row r="63" spans="2:13">
      <c r="B63" s="26" t="str">
        <f>IF(Contents!$B$2=2, C64, B64)</f>
        <v>Потребление энергии рассчитывается как сумма закупленной энергии и обеспечивающей генерации за вычетом продажи и отпуска. При пересчете данных использовались следующие коэффициенты: 1 тыс. кВт*ч = 3,6 ГДж, 1 Гкал = 4,187 ГДж. При пересчете данных по потреблению топлива использовался коэффициент: 1 т.у.т. = 29,31 ГДж; 1 т.у.т. = 1 куб. м * 1,154.</v>
      </c>
      <c r="C63" s="1"/>
      <c r="D63" s="82"/>
      <c r="E63" s="82"/>
      <c r="F63" s="82"/>
      <c r="G63" s="82"/>
      <c r="H63" s="29"/>
      <c r="I63" s="39"/>
      <c r="K63" s="558"/>
      <c r="M63" s="22"/>
    </row>
    <row r="64" spans="2:13">
      <c r="B64" s="113" t="s">
        <v>9</v>
      </c>
      <c r="C64" s="113" t="s">
        <v>34</v>
      </c>
      <c r="D64" s="82"/>
      <c r="E64" s="82"/>
      <c r="F64" s="82"/>
      <c r="G64" s="82"/>
      <c r="H64" s="29"/>
      <c r="I64" s="39"/>
      <c r="K64" s="558"/>
      <c r="M64" s="22"/>
    </row>
    <row r="65" spans="2:13">
      <c r="B65" s="48" t="str">
        <f>IF(Contents!$B$2=2,"Environmental expenses","Расходы на охрану окружающей среды")</f>
        <v>Расходы на охрану окружающей среды</v>
      </c>
      <c r="C65" s="49"/>
      <c r="D65" s="50"/>
      <c r="E65" s="50"/>
      <c r="F65" s="51"/>
      <c r="G65" s="51"/>
      <c r="H65" s="29"/>
      <c r="I65" s="39"/>
      <c r="K65" s="558"/>
      <c r="M65" s="22"/>
    </row>
    <row r="66" spans="2:13">
      <c r="B66" s="52" t="str">
        <f>IF(Contents!$B$2=2,"Expenses on the implementation of activities related to environmental protection","Расходы на реализацию мероприятий, связанных с охраной окружающей среды")</f>
        <v>Расходы на реализацию мероприятий, связанных с охраной окружающей среды</v>
      </c>
      <c r="C66" s="53" t="str">
        <f>IF(Contents!$B$2=2,"RR th.","тыс. руб.")</f>
        <v>тыс. руб.</v>
      </c>
      <c r="D66" s="91">
        <v>2570042.5</v>
      </c>
      <c r="E66" s="91">
        <v>3088388.1</v>
      </c>
      <c r="F66" s="91">
        <v>3428649.9</v>
      </c>
      <c r="G66" s="107">
        <v>3277126.3</v>
      </c>
      <c r="H66" s="29"/>
      <c r="I66" s="56" t="str">
        <f>IF(Contents!$B$2=2,"PBCS 10","СОКБ 10")</f>
        <v>СОКБ 10</v>
      </c>
      <c r="K66" s="277">
        <v>2</v>
      </c>
      <c r="L66" s="277"/>
      <c r="M66" s="22"/>
    </row>
    <row r="67" spans="2:13">
      <c r="B67" s="23" t="str">
        <f>IF(Contents!$B$2=2,"by areas of environmental protection activities","по направлениям проведения природоохранных мероприятий")</f>
        <v>по направлениям проведения природоохранных мероприятий</v>
      </c>
      <c r="C67" s="77"/>
      <c r="D67" s="84"/>
      <c r="E67" s="84"/>
      <c r="F67" s="84"/>
      <c r="G67" s="84"/>
      <c r="H67" s="29"/>
      <c r="I67" s="39"/>
      <c r="K67" s="277"/>
      <c r="L67" s="277"/>
      <c r="M67" s="22"/>
    </row>
    <row r="68" spans="2:13">
      <c r="B68" s="87" t="str">
        <f>IF(Contents!$B$2=2,"For air protection and climate change prevention","На охрану атмосферного воздуха и предотвращение изменения климата")</f>
        <v>На охрану атмосферного воздуха и предотвращение изменения климата</v>
      </c>
      <c r="C68" s="53" t="str">
        <f>IF(Contents!$B$2=2,"RR th.","тыс. руб.")</f>
        <v>тыс. руб.</v>
      </c>
      <c r="D68" s="91">
        <v>209214.91244260001</v>
      </c>
      <c r="E68" s="91">
        <v>709930.76018994965</v>
      </c>
      <c r="F68" s="91">
        <v>277309.76520298002</v>
      </c>
      <c r="G68" s="793">
        <v>624185.11738839594</v>
      </c>
      <c r="H68" s="29"/>
      <c r="I68" s="56" t="str">
        <f>IF(Contents!$B$2=2,"PBCS 10","СОКБ 10")</f>
        <v>СОКБ 10</v>
      </c>
      <c r="K68" s="277">
        <v>2</v>
      </c>
      <c r="L68" s="277"/>
      <c r="M68" s="783"/>
    </row>
    <row r="69" spans="2:13">
      <c r="B69" s="87" t="str">
        <f>IF(Contents!$B$2=2,"For waste water collection and treatment","На сбор и очистку сточных вод")</f>
        <v>На сбор и очистку сточных вод</v>
      </c>
      <c r="C69" s="53" t="str">
        <f>IF(Contents!$B$2=2,"RR th.","тыс. руб.")</f>
        <v>тыс. руб.</v>
      </c>
      <c r="D69" s="91">
        <v>743990.57616974995</v>
      </c>
      <c r="E69" s="91">
        <v>1004588.8252395431</v>
      </c>
      <c r="F69" s="91">
        <v>2033546.6113855781</v>
      </c>
      <c r="G69" s="793">
        <v>1691733.4485025997</v>
      </c>
      <c r="H69" s="29"/>
      <c r="I69" s="56" t="str">
        <f>IF(Contents!$B$2=2,"PBCS 10","СОКБ 10")</f>
        <v>СОКБ 10</v>
      </c>
      <c r="K69" s="277">
        <v>2</v>
      </c>
      <c r="L69" s="277"/>
      <c r="M69" s="22"/>
    </row>
    <row r="70" spans="2:13">
      <c r="B70" s="87" t="str">
        <f>IF(Contents!$B$2=2,"For waste management","На обращение с отходами")</f>
        <v>На обращение с отходами</v>
      </c>
      <c r="C70" s="53" t="str">
        <f>IF(Contents!$B$2=2,"RR th.","тыс. руб.")</f>
        <v>тыс. руб.</v>
      </c>
      <c r="D70" s="91">
        <v>870649.34575378662</v>
      </c>
      <c r="E70" s="91">
        <v>728774.82264314976</v>
      </c>
      <c r="F70" s="91">
        <v>609976.53624282707</v>
      </c>
      <c r="G70" s="793">
        <v>491591.66621158709</v>
      </c>
      <c r="H70" s="29"/>
      <c r="I70" s="56" t="str">
        <f>IF(Contents!$B$2=2,"PBCS 10","СОКБ 10")</f>
        <v>СОКБ 10</v>
      </c>
      <c r="K70" s="277">
        <v>2</v>
      </c>
      <c r="L70" s="277"/>
      <c r="M70" s="22"/>
    </row>
    <row r="71" spans="2:13">
      <c r="B71" s="87" t="str">
        <f>IF(Contents!$B$2=2,"For biodiversity and natural areas conservation","На сохранение биоразнообразия и природных территорий")</f>
        <v>На сохранение биоразнообразия и природных территорий</v>
      </c>
      <c r="C71" s="53" t="str">
        <f>IF(Contents!$B$2=2,"RR th.","тыс. руб.")</f>
        <v>тыс. руб.</v>
      </c>
      <c r="D71" s="91">
        <v>286692.70105920098</v>
      </c>
      <c r="E71" s="91">
        <v>157865.70542549097</v>
      </c>
      <c r="F71" s="91">
        <v>40008.054215700002</v>
      </c>
      <c r="G71" s="793">
        <v>80552</v>
      </c>
      <c r="H71" s="29"/>
      <c r="I71" s="56" t="str">
        <f>IF(Contents!$B$2=2,"PBCS 10","СОКБ 10")</f>
        <v>СОКБ 10</v>
      </c>
      <c r="K71" s="277">
        <v>2</v>
      </c>
      <c r="L71" s="277"/>
      <c r="M71" s="22"/>
    </row>
    <row r="72" spans="2:13" ht="36">
      <c r="B72" s="87" t="str">
        <f>IF(Contents!$B$2=2,"For protection and rational use of lands, rehabilitation of lands and protection of subsurface resources","На охрану и рациональное использование земель, реабилитацию земель и охрану недр")</f>
        <v>На охрану и рациональное использование земель, реабилитацию земель и охрану недр</v>
      </c>
      <c r="C72" s="53" t="str">
        <f>IF(Contents!$B$2=2,"RR th.","тыс. руб.")</f>
        <v>тыс. руб.</v>
      </c>
      <c r="D72" s="91">
        <v>222756</v>
      </c>
      <c r="E72" s="91">
        <v>245897</v>
      </c>
      <c r="F72" s="91">
        <v>248264</v>
      </c>
      <c r="G72" s="793">
        <v>251417.83103328303</v>
      </c>
      <c r="H72" s="29"/>
      <c r="I72" s="56" t="str">
        <f>IF(Contents!$B$2=2,"PBCS 10","СОКБ 10")</f>
        <v>СОКБ 10</v>
      </c>
      <c r="K72" s="277">
        <v>2</v>
      </c>
      <c r="L72" s="277"/>
      <c r="M72" s="22"/>
    </row>
    <row r="73" spans="2:13" ht="36">
      <c r="B73" s="87" t="str">
        <f>IF(Contents!$B$2=2,"For environmental protection from noise, vibration and other physical impacts","На защиту окружающей среды от шумового, вибрационного и других видов физического воздействия")</f>
        <v>На защиту окружающей среды от шумового, вибрационного и других видов физического воздействия</v>
      </c>
      <c r="C73" s="53" t="str">
        <f>IF(Contents!$B$2=2,"RR th.","тыс. руб.")</f>
        <v>тыс. руб.</v>
      </c>
      <c r="D73" s="91" t="s">
        <v>185</v>
      </c>
      <c r="E73" s="91" t="s">
        <v>185</v>
      </c>
      <c r="F73" s="91">
        <v>610</v>
      </c>
      <c r="G73" s="793">
        <v>0</v>
      </c>
      <c r="H73" s="29"/>
      <c r="I73" s="56" t="str">
        <f>IF(Contents!$B$2=2,"PBCS 10","СОКБ 10")</f>
        <v>СОКБ 10</v>
      </c>
      <c r="K73" s="277">
        <v>2</v>
      </c>
      <c r="L73" s="56"/>
      <c r="M73" s="22"/>
    </row>
    <row r="74" spans="2:13">
      <c r="B74" s="87" t="str">
        <f>IF(Contents!$B$2=2,"For other environmental activities","На другие направления деятельности в сфере охраны окружающей среды")</f>
        <v>На другие направления деятельности в сфере охраны окружающей среды</v>
      </c>
      <c r="C74" s="53" t="str">
        <f>IF(Contents!$B$2=2,"RR th.","тыс. руб.")</f>
        <v>тыс. руб.</v>
      </c>
      <c r="D74" s="91">
        <v>225664</v>
      </c>
      <c r="E74" s="91">
        <v>232881</v>
      </c>
      <c r="F74" s="91">
        <v>215192</v>
      </c>
      <c r="G74" s="793">
        <v>133684.29248116398</v>
      </c>
      <c r="H74" s="29"/>
      <c r="I74" s="56" t="str">
        <f>IF(Contents!$B$2=2,"PBCS 10","СОКБ 10")</f>
        <v>СОКБ 10</v>
      </c>
      <c r="K74" s="277">
        <v>2</v>
      </c>
      <c r="L74" s="277"/>
      <c r="M74" s="22"/>
    </row>
    <row r="75" spans="2:13" ht="36">
      <c r="B75" s="52" t="str">
        <f>IF(Contents!$B$2=2,"Costs of compensation in the form of payment for negative environmental impact","Затраты на компенсации в виде платы за негативное воздействие на окружающую среду")</f>
        <v>Затраты на компенсации в виде платы за негативное воздействие на окружающую среду</v>
      </c>
      <c r="C75" s="53" t="str">
        <f>IF(Contents!$B$2=2,"RR th.","тыс. руб.")</f>
        <v>тыс. руб.</v>
      </c>
      <c r="D75" s="91">
        <v>11075</v>
      </c>
      <c r="E75" s="91">
        <v>8450</v>
      </c>
      <c r="F75" s="91">
        <v>4353</v>
      </c>
      <c r="G75" s="204">
        <v>3962</v>
      </c>
      <c r="H75" s="29"/>
      <c r="I75" s="56" t="str">
        <f>IF(Contents!$B$2=2,"PBCS 14","СОКБ 14")</f>
        <v>СОКБ 14</v>
      </c>
      <c r="K75" s="277">
        <v>2</v>
      </c>
      <c r="L75" s="277"/>
      <c r="M75" s="22"/>
    </row>
    <row r="76" spans="2:13" ht="36">
      <c r="B76" s="87" t="str">
        <f>IF(Contents!$B$2=2,"Volume of payments for regulatory impact (including for emissions, charges, waste)","Объем платежей за нормативное воздействие ( в т.ч. за выбросы, сборы, отходы)")</f>
        <v>Объем платежей за нормативное воздействие ( в т.ч. за выбросы, сборы, отходы)</v>
      </c>
      <c r="C76" s="12" t="str">
        <f>IF(Contents!$B$2=2,"RR th.","тыс. руб.")</f>
        <v>тыс. руб.</v>
      </c>
      <c r="D76" s="91">
        <v>3877</v>
      </c>
      <c r="E76" s="91">
        <v>4274</v>
      </c>
      <c r="F76" s="91">
        <v>4287</v>
      </c>
      <c r="G76" s="204">
        <v>3877</v>
      </c>
      <c r="H76" s="29"/>
      <c r="I76" s="56" t="str">
        <f>IF(Contents!$B$2=2,"PBCS 14","СОКБ 14")</f>
        <v>СОКБ 14</v>
      </c>
      <c r="K76" s="277">
        <v>2</v>
      </c>
      <c r="L76" s="297"/>
      <c r="M76" s="22"/>
    </row>
    <row r="77" spans="2:13">
      <c r="B77" s="87" t="str">
        <f>IF(Contents!$B$2=2,"Amount of payments for excess exposure, including","Объем платежей за сверхнормативное воздействие, в т.ч.")</f>
        <v>Объем платежей за сверхнормативное воздействие, в т.ч.</v>
      </c>
      <c r="C77" s="12" t="str">
        <f>IF(Contents!$B$2=2,"RR th.","тыс. руб.")</f>
        <v>тыс. руб.</v>
      </c>
      <c r="D77" s="91">
        <v>7198</v>
      </c>
      <c r="E77" s="91">
        <v>4176</v>
      </c>
      <c r="F77" s="91">
        <v>66</v>
      </c>
      <c r="G77" s="204">
        <v>85</v>
      </c>
      <c r="H77" s="29"/>
      <c r="I77" s="56" t="str">
        <f>IF(Contents!$B$2=2,"PBCS 14","СОКБ 14")</f>
        <v>СОКБ 14</v>
      </c>
      <c r="K77" s="277">
        <v>2</v>
      </c>
      <c r="L77" s="277"/>
      <c r="M77" s="22"/>
    </row>
    <row r="78" spans="2:13">
      <c r="B78" s="52" t="str">
        <f>IF(Contents!$B$2=2,"Costs of compensation and penalties","Затраты на компенсации и штрафы")</f>
        <v>Затраты на компенсации и штрафы</v>
      </c>
      <c r="C78" s="53" t="str">
        <f>IF(Contents!$B$2=2,"RR th.","тыс. руб.")</f>
        <v>тыс. руб.</v>
      </c>
      <c r="D78" s="91">
        <v>973</v>
      </c>
      <c r="E78" s="91">
        <v>1858</v>
      </c>
      <c r="F78" s="91">
        <v>316</v>
      </c>
      <c r="G78" s="204">
        <v>259</v>
      </c>
      <c r="H78" s="29"/>
      <c r="I78" s="56" t="str">
        <f>IF(Contents!$B$2=2,"PBCS 15","СОКБ 15")</f>
        <v>СОКБ 15</v>
      </c>
      <c r="K78" s="277">
        <v>2</v>
      </c>
      <c r="L78" s="277"/>
      <c r="M78" s="22"/>
    </row>
    <row r="79" spans="2:13">
      <c r="B79" s="87" t="str">
        <f>IF(Contents!$B$2=2,"Fines for violating environmental legislation","Штрафы за нарушения природоохранного законодательства")</f>
        <v>Штрафы за нарушения природоохранного законодательства</v>
      </c>
      <c r="C79" s="53" t="str">
        <f>IF(Contents!$B$2=2,"RR th.","тыс. руб.")</f>
        <v>тыс. руб.</v>
      </c>
      <c r="D79" s="91">
        <v>973</v>
      </c>
      <c r="E79" s="91">
        <v>1858</v>
      </c>
      <c r="F79" s="91">
        <v>316</v>
      </c>
      <c r="G79" s="793">
        <v>259</v>
      </c>
      <c r="H79" s="29"/>
      <c r="I79" s="56" t="str">
        <f>IF(Contents!$B$2=2,"PBCS 15","СОКБ 15")</f>
        <v>СОКБ 15</v>
      </c>
      <c r="K79" s="277">
        <v>2</v>
      </c>
      <c r="L79" s="277"/>
      <c r="M79" s="22"/>
    </row>
    <row r="80" spans="2:13">
      <c r="B80" s="285" t="str">
        <f>IF(Contents!$B$2=2,"for cases of non-compliance with laws and regulations in the reporting year","за случаи несоблюдения законов и правил в отчетном году")</f>
        <v>за случаи несоблюдения законов и правил в отчетном году</v>
      </c>
      <c r="C80" s="53" t="str">
        <f>IF(Contents!$B$2=2,"RR th.","тыс. руб.")</f>
        <v>тыс. руб.</v>
      </c>
      <c r="D80" s="506">
        <v>973</v>
      </c>
      <c r="E80" s="506">
        <v>150</v>
      </c>
      <c r="F80" s="506">
        <v>240</v>
      </c>
      <c r="G80" s="898">
        <v>140</v>
      </c>
      <c r="H80" s="29"/>
      <c r="I80" s="56" t="str">
        <f>IF(Contents!$B$2=2,"PBCS 15","СОКБ 15")</f>
        <v>СОКБ 15</v>
      </c>
      <c r="K80" s="277">
        <v>2</v>
      </c>
      <c r="L80" s="297"/>
      <c r="M80" s="22"/>
    </row>
    <row r="81" spans="1:241">
      <c r="B81" s="285" t="str">
        <f>IF(Contents!$B$2=2,"for cases of non-compliance with laws and regulations in previous years","за случаи несоблюдения законов и правил в предыдущих годах")</f>
        <v>за случаи несоблюдения законов и правил в предыдущих годах</v>
      </c>
      <c r="C81" s="53" t="str">
        <f>IF(Contents!$B$2=2,"RR th.","тыс. руб.")</f>
        <v>тыс. руб.</v>
      </c>
      <c r="D81" s="506" t="s">
        <v>185</v>
      </c>
      <c r="E81" s="506">
        <v>1708</v>
      </c>
      <c r="F81" s="506">
        <v>76</v>
      </c>
      <c r="G81" s="898">
        <v>119</v>
      </c>
      <c r="H81" s="29"/>
      <c r="I81" s="56" t="str">
        <f>IF(Contents!$B$2=2,"PBCS 15","СОКБ 15")</f>
        <v>СОКБ 15</v>
      </c>
      <c r="K81" s="277">
        <v>2</v>
      </c>
      <c r="L81" s="297"/>
      <c r="M81" s="22"/>
    </row>
    <row r="82" spans="1:241" ht="54">
      <c r="B82" s="87" t="str">
        <f>IF(Contents!$B$2=2,"Compensation paid for harm (damage) caused to the environment, individual components of the natural environment (land, water bodies, forests, wildlife, etc.)","Выплаченная компенсация вреда (ущерба), причиненного окружающей среде, отдельным компонентам природной среды (землям, водным объектам, лесам, животному миру и др.)")</f>
        <v>Выплаченная компенсация вреда (ущерба), причиненного окружающей среде, отдельным компонентам природной среды (землям, водным объектам, лесам, животному миру и др.)</v>
      </c>
      <c r="C82" s="53" t="str">
        <f>IF(Contents!$B$2=2,"RR th.","тыс. руб.")</f>
        <v>тыс. руб.</v>
      </c>
      <c r="D82" s="88" t="s">
        <v>185</v>
      </c>
      <c r="E82" s="88" t="s">
        <v>185</v>
      </c>
      <c r="F82" s="88">
        <v>0</v>
      </c>
      <c r="G82" s="899">
        <v>0</v>
      </c>
      <c r="H82" s="29"/>
      <c r="I82" s="56" t="str">
        <f>IF(Contents!$B$2=2,"PBCS 15","СОКБ 15")</f>
        <v>СОКБ 15</v>
      </c>
      <c r="K82" s="277">
        <v>2</v>
      </c>
      <c r="L82" s="297"/>
      <c r="M82" s="22"/>
    </row>
    <row r="83" spans="1:241">
      <c r="A83" s="756"/>
      <c r="B83" s="87"/>
      <c r="C83" s="53"/>
      <c r="D83" s="88"/>
      <c r="E83" s="88"/>
      <c r="F83" s="88"/>
      <c r="G83" s="88"/>
      <c r="H83" s="29"/>
      <c r="I83" s="39"/>
      <c r="K83" s="558"/>
      <c r="M83" s="22"/>
    </row>
    <row r="84" spans="1:241" ht="18">
      <c r="A84" s="756"/>
      <c r="B84" s="25" t="str">
        <f>IF(Contents!$B$2=2,"Notes:","Примечания:")</f>
        <v>Примечания:</v>
      </c>
      <c r="C84" s="61"/>
      <c r="D84" s="62"/>
      <c r="E84" s="62"/>
      <c r="F84" s="825"/>
      <c r="G84" s="63"/>
      <c r="H84" s="59"/>
      <c r="I84" s="60"/>
      <c r="J84" s="56"/>
      <c r="K84" s="56"/>
      <c r="L84" s="56"/>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row>
    <row r="85" spans="1:241" ht="18">
      <c r="A85" s="116"/>
      <c r="B85" s="65" t="str">
        <f>IF(Contents!$B$2=2, C87, B87)</f>
        <v>Расходы на реализацию мероприятий, связанных с охраной окружающей среды, включают расходы на реализацию природоохранных мероприятий и плату за негативное воздействие на окружающую среду.</v>
      </c>
      <c r="C85" s="65"/>
      <c r="D85" s="66"/>
      <c r="E85" s="66"/>
      <c r="F85" s="66"/>
      <c r="G85" s="66"/>
      <c r="H85" s="755"/>
      <c r="I85" s="60"/>
      <c r="J85" s="56"/>
      <c r="K85" s="56"/>
      <c r="L85" s="56"/>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row>
    <row r="86" spans="1:241" ht="18">
      <c r="A86" s="116"/>
      <c r="B86" s="65" t="str">
        <f xml:space="preserve"> IF(Contents!$B$2=2, E87, D87)</f>
        <v>Расходы на другие направления деятельности в сфере охраны окружающей среды включают затраты на экологический мониторинг, управленческие и прочие мероприятия.</v>
      </c>
      <c r="C86" s="65"/>
      <c r="D86" s="66"/>
      <c r="E86" s="66"/>
      <c r="F86" s="66"/>
      <c r="G86" s="66"/>
      <c r="H86" s="755"/>
      <c r="I86" s="60"/>
      <c r="J86" s="56"/>
      <c r="K86" s="56"/>
      <c r="L86" s="56"/>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row>
    <row r="87" spans="1:241">
      <c r="B87" s="114" t="s">
        <v>10</v>
      </c>
      <c r="C87" s="114" t="s">
        <v>35</v>
      </c>
      <c r="D87" s="528" t="s">
        <v>27</v>
      </c>
      <c r="E87" s="528" t="s">
        <v>36</v>
      </c>
      <c r="F87" s="82"/>
      <c r="G87" s="82"/>
      <c r="H87" s="29"/>
      <c r="I87" s="39"/>
      <c r="K87" s="558"/>
      <c r="M87" s="22"/>
    </row>
    <row r="88" spans="1:241">
      <c r="B88" s="48" t="str">
        <f>IF(Contents!$B$2=2,"Environmentally significant incidents","Экологически-значимые инциденты")</f>
        <v>Экологически-значимые инциденты</v>
      </c>
      <c r="C88" s="49"/>
      <c r="D88" s="50"/>
      <c r="E88" s="50"/>
      <c r="F88" s="51"/>
      <c r="G88" s="51"/>
      <c r="H88" s="29"/>
      <c r="K88" s="558"/>
      <c r="M88" s="22"/>
    </row>
    <row r="89" spans="1:241" ht="54">
      <c r="B89" s="52" t="str">
        <f>IF(Contents!$B$2=2,"Accidents and incidents resulting in negative environmental impacts (including those caused by man-made emergencies)","Аварии и инциденты, повлекшие за собой негативное воздействие на окружающую среду (в том числе в результате чрезвычайных ситуаций техногенного характера)")</f>
        <v>Аварии и инциденты, повлекшие за собой негативное воздействие на окружающую среду (в том числе в результате чрезвычайных ситуаций техногенного характера)</v>
      </c>
      <c r="C89" s="53" t="str">
        <f>IF(Contents!$B$2=2,"unit","ед.")</f>
        <v>ед.</v>
      </c>
      <c r="D89" s="675">
        <v>0</v>
      </c>
      <c r="E89" s="675">
        <v>0</v>
      </c>
      <c r="F89" s="675">
        <v>0</v>
      </c>
      <c r="G89" s="900">
        <v>0</v>
      </c>
      <c r="H89" s="29"/>
      <c r="I89" s="56" t="str">
        <f>IF(Contents!$B$2=2,"PBCS 16","СОКБ 16")</f>
        <v>СОКБ 16</v>
      </c>
      <c r="K89" s="277">
        <v>2</v>
      </c>
      <c r="L89" s="56"/>
      <c r="M89" s="22"/>
    </row>
    <row r="90" spans="1:241">
      <c r="B90" s="87"/>
      <c r="C90" s="53"/>
      <c r="D90" s="82"/>
      <c r="E90" s="82"/>
      <c r="F90" s="82"/>
      <c r="G90" s="82"/>
      <c r="H90" s="29"/>
      <c r="I90" s="39"/>
      <c r="K90" s="558"/>
      <c r="M90" s="22"/>
    </row>
    <row r="91" spans="1:241">
      <c r="B91" s="25" t="str">
        <f>IF(Contents!$B$2=2,"Notes:","Примечания:")</f>
        <v>Примечания:</v>
      </c>
      <c r="C91" s="53"/>
      <c r="D91" s="86"/>
      <c r="E91" s="86"/>
      <c r="F91" s="86"/>
      <c r="G91" s="86"/>
      <c r="H91" s="29"/>
      <c r="I91" s="39"/>
      <c r="K91" s="558"/>
      <c r="M91" s="22"/>
    </row>
    <row r="92" spans="1:241">
      <c r="B92" s="26" t="str">
        <f>IF(Contents!$B$2=2, C93, B93)</f>
        <v>Пороги существенности разливов определяются на основе требований нормативно-правовых актов РФ и соответствующих локальных нормативных актов Компании:  для водных объектов – ≥0,5 тонны, для суши – ≥3 тонны.</v>
      </c>
      <c r="C92" s="65"/>
      <c r="D92" s="66"/>
      <c r="E92" s="66"/>
      <c r="F92" s="66"/>
      <c r="G92" s="66"/>
      <c r="H92" s="29"/>
      <c r="I92" s="39"/>
      <c r="K92" s="558"/>
      <c r="M92" s="22"/>
    </row>
    <row r="93" spans="1:241">
      <c r="B93" s="114" t="s">
        <v>198</v>
      </c>
      <c r="C93" s="115" t="s">
        <v>37</v>
      </c>
      <c r="D93" s="82"/>
      <c r="E93" s="82"/>
      <c r="F93" s="82"/>
      <c r="G93" s="82"/>
      <c r="H93" s="29"/>
      <c r="I93" s="39"/>
      <c r="K93" s="558"/>
      <c r="M93" s="22"/>
    </row>
    <row r="94" spans="1:241" ht="36">
      <c r="B94" s="48"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Инвестиции в основной капитал, направленные на охрану окружающей среды и рациональное использование природных ресурсов</v>
      </c>
      <c r="C94" s="49"/>
      <c r="D94" s="50"/>
      <c r="E94" s="50"/>
      <c r="F94" s="51"/>
      <c r="G94" s="51"/>
      <c r="H94" s="29"/>
      <c r="I94" s="39"/>
      <c r="K94" s="558"/>
      <c r="M94" s="22"/>
    </row>
    <row r="95" spans="1:241" ht="36">
      <c r="B95" s="52"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Инвестиции в основной капитал, направленные на охрану окружающей среды и рациональное использование природных ресурсов</v>
      </c>
      <c r="C95" s="53" t="str">
        <f>IF(Contents!$B$2=2,"RR th.","тыс. руб.")</f>
        <v>тыс. руб.</v>
      </c>
      <c r="D95" s="107">
        <v>2001546</v>
      </c>
      <c r="E95" s="107">
        <v>3481201.4206000003</v>
      </c>
      <c r="F95" s="107">
        <v>1989899.4568</v>
      </c>
      <c r="G95" s="793">
        <v>3601908.4220000003</v>
      </c>
      <c r="H95" s="29"/>
      <c r="I95" s="56" t="str">
        <f>IF(Contents!$B$2=2,"PBCS 17","СОКБ 17")</f>
        <v>СОКБ 17</v>
      </c>
      <c r="K95" s="277">
        <v>2</v>
      </c>
      <c r="M95" s="22"/>
    </row>
    <row r="96" spans="1:241">
      <c r="B96" s="114"/>
      <c r="C96" s="115"/>
      <c r="D96" s="82"/>
      <c r="E96" s="82"/>
      <c r="F96" s="82"/>
      <c r="G96" s="82"/>
      <c r="H96" s="29"/>
      <c r="I96" s="39"/>
      <c r="K96" s="558"/>
      <c r="M96" s="22"/>
    </row>
    <row r="97" spans="2:13">
      <c r="B97" s="45" t="str">
        <f>IF(Contents!$B$2=2,"Social indicators","Социальные показатели")</f>
        <v>Социальные показатели</v>
      </c>
      <c r="C97" s="45"/>
      <c r="D97" s="719"/>
      <c r="E97" s="719"/>
      <c r="F97" s="719"/>
      <c r="G97" s="719"/>
      <c r="H97" s="29"/>
      <c r="I97" s="39"/>
      <c r="K97" s="558"/>
      <c r="M97" s="22"/>
    </row>
    <row r="98" spans="2:13">
      <c r="B98" s="48" t="str">
        <f>IF(Contents!$B$2=2,"Compensation","Оплата труда")</f>
        <v>Оплата труда</v>
      </c>
      <c r="C98" s="49"/>
      <c r="D98" s="50"/>
      <c r="E98" s="50"/>
      <c r="F98" s="51"/>
      <c r="G98" s="51"/>
      <c r="H98" s="29"/>
      <c r="I98" s="39"/>
      <c r="K98" s="558"/>
      <c r="M98" s="22"/>
    </row>
    <row r="99" spans="2:13">
      <c r="B99" s="52" t="str">
        <f>IF(Contents!$B$2=2,"Compensation expenses","Расходы на оплату труда")</f>
        <v>Расходы на оплату труда</v>
      </c>
      <c r="C99" s="53" t="str">
        <f>IF(Contents!$B$2=2,"RR th.","тыс. руб.")</f>
        <v>тыс. руб.</v>
      </c>
      <c r="D99" s="91" t="s">
        <v>185</v>
      </c>
      <c r="E99" s="107">
        <v>62900000</v>
      </c>
      <c r="F99" s="107">
        <v>67334000</v>
      </c>
      <c r="G99" s="793">
        <v>82300000</v>
      </c>
      <c r="H99" s="29"/>
      <c r="I99" s="56" t="str">
        <f>IF(Contents!$B$2=2,"PBCS 19","СОКБ 19")</f>
        <v>СОКБ 19</v>
      </c>
      <c r="K99" s="558">
        <v>3</v>
      </c>
      <c r="M99" s="22"/>
    </row>
    <row r="100" spans="2:13" ht="36">
      <c r="B100" s="52" t="str">
        <f>IF(Contents!$B$2=2,"Ratio of the the average salary in the Company (excluding dependent companies) to the average salary in the Yamalo-Nenets Autonomous Okrug","Отношение средней заработной платы в Компании (без учета зависимых обществ) к среднему уровню заработной платы в ЯНАО")</f>
        <v>Отношение средней заработной платы в Компании (без учета зависимых обществ) к среднему уровню заработной платы в ЯНАО</v>
      </c>
      <c r="C100" s="53"/>
      <c r="D100" s="38" t="s">
        <v>185</v>
      </c>
      <c r="E100" s="38" t="s">
        <v>185</v>
      </c>
      <c r="F100" s="38" t="s">
        <v>185</v>
      </c>
      <c r="G100" s="97">
        <v>2.7</v>
      </c>
      <c r="I100" s="56" t="str">
        <f>IF(Contents!$B$2=2,"PBCS 20","СОКБ 20")</f>
        <v>СОКБ 20</v>
      </c>
      <c r="K100" s="558">
        <v>1</v>
      </c>
    </row>
    <row r="101" spans="2:13">
      <c r="B101" s="52"/>
      <c r="C101" s="53"/>
      <c r="D101" s="38"/>
      <c r="E101" s="38"/>
      <c r="F101" s="38"/>
      <c r="G101" s="29"/>
      <c r="I101" s="56"/>
      <c r="K101" s="558"/>
    </row>
    <row r="102" spans="2:13">
      <c r="B102" s="48" t="str">
        <f>IF(Contents!$B$2=2,"Personnel structure","Структура персонала")</f>
        <v>Структура персонала</v>
      </c>
      <c r="C102" s="49"/>
      <c r="D102" s="50"/>
      <c r="E102" s="50"/>
      <c r="F102" s="50"/>
      <c r="G102" s="50"/>
      <c r="I102" s="39"/>
      <c r="K102" s="558"/>
      <c r="M102" s="22"/>
    </row>
    <row r="103" spans="2:13">
      <c r="B103" s="52" t="str">
        <f>IF(Contents!$B$2=2,"Average number of employees","Среднесписочная численность работников")</f>
        <v>Среднесписочная численность работников</v>
      </c>
      <c r="C103" s="53" t="str">
        <f>IF(Contents!$B$2=2,"people","человек")</f>
        <v>человек</v>
      </c>
      <c r="D103" s="91">
        <v>18731</v>
      </c>
      <c r="E103" s="91">
        <v>19846</v>
      </c>
      <c r="F103" s="91">
        <v>21157</v>
      </c>
      <c r="G103" s="793">
        <v>22623</v>
      </c>
      <c r="H103" s="29"/>
      <c r="I103" s="56" t="str">
        <f>IF(Contents!$B$2=2,"PBCS 21","СОКБ 21")</f>
        <v>СОКБ 21</v>
      </c>
      <c r="K103" s="558">
        <v>1</v>
      </c>
      <c r="M103" s="22"/>
    </row>
    <row r="104" spans="2:13">
      <c r="B104" s="23" t="str">
        <f>IF(Contents!$B$2=2,"by gender","по полу")</f>
        <v>по полу</v>
      </c>
      <c r="C104" s="77"/>
      <c r="D104" s="92"/>
      <c r="E104" s="92"/>
      <c r="F104" s="92"/>
      <c r="G104" s="92"/>
      <c r="H104" s="29"/>
      <c r="I104" s="39"/>
      <c r="K104" s="558"/>
      <c r="M104" s="22"/>
    </row>
    <row r="105" spans="2:13">
      <c r="B105" s="93" t="str">
        <f>IF(Contents!$B$2=2,"Males","Мужчины")</f>
        <v>Мужчины</v>
      </c>
      <c r="C105" s="53" t="s">
        <v>0</v>
      </c>
      <c r="D105" s="675">
        <v>78</v>
      </c>
      <c r="E105" s="675">
        <v>79</v>
      </c>
      <c r="F105" s="675">
        <v>80</v>
      </c>
      <c r="G105" s="900">
        <v>81</v>
      </c>
      <c r="H105" s="29"/>
      <c r="I105" s="56" t="str">
        <f>IF(Contents!$B$2=2,"PBCS 25","СОКБ 25")</f>
        <v>СОКБ 25</v>
      </c>
      <c r="K105" s="558">
        <v>1</v>
      </c>
      <c r="M105" s="22"/>
    </row>
    <row r="106" spans="2:13">
      <c r="B106" s="93" t="str">
        <f>IF(Contents!$B$2=2,"Females","Женщины")</f>
        <v>Женщины</v>
      </c>
      <c r="C106" s="53" t="s">
        <v>0</v>
      </c>
      <c r="D106" s="675">
        <v>22</v>
      </c>
      <c r="E106" s="675">
        <v>21</v>
      </c>
      <c r="F106" s="675">
        <v>20</v>
      </c>
      <c r="G106" s="900">
        <v>19</v>
      </c>
      <c r="H106" s="29"/>
      <c r="I106" s="56" t="str">
        <f>IF(Contents!$B$2=2,"PBCS 25","СОКБ 25")</f>
        <v>СОКБ 25</v>
      </c>
      <c r="K106" s="558">
        <v>1</v>
      </c>
      <c r="M106" s="22"/>
    </row>
    <row r="107" spans="2:13">
      <c r="B107" s="23" t="str">
        <f>IF(Contents!$B$2=2,"by age group","по возрастным группам")</f>
        <v>по возрастным группам</v>
      </c>
      <c r="C107" s="77"/>
      <c r="D107" s="92"/>
      <c r="E107" s="92"/>
      <c r="F107" s="92"/>
      <c r="G107" s="92"/>
      <c r="H107" s="29"/>
      <c r="I107" s="39"/>
      <c r="K107" s="558"/>
      <c r="M107" s="22"/>
    </row>
    <row r="108" spans="2:13">
      <c r="B108" s="796" t="str">
        <f>IF(Contents!$B$2=2,"Up to 30 years old","До 30 лет")</f>
        <v>До 30 лет</v>
      </c>
      <c r="C108" s="53" t="s">
        <v>0</v>
      </c>
      <c r="D108" s="107">
        <v>9</v>
      </c>
      <c r="E108" s="107">
        <v>8</v>
      </c>
      <c r="F108" s="107">
        <v>7.0000000000000009</v>
      </c>
      <c r="G108" s="793">
        <v>7.0000000000000009</v>
      </c>
      <c r="H108" s="29"/>
      <c r="I108" s="56" t="str">
        <f>IF(Contents!$B$2=2,"PBCS 25","СОКБ 25")</f>
        <v>СОКБ 25</v>
      </c>
      <c r="K108" s="558">
        <v>1</v>
      </c>
      <c r="M108" s="22"/>
    </row>
    <row r="109" spans="2:13">
      <c r="B109" s="796" t="str">
        <f>IF(Contents!$B$2=2,"30 to 50 years old","30-50 лет")</f>
        <v>30-50 лет</v>
      </c>
      <c r="C109" s="53" t="s">
        <v>0</v>
      </c>
      <c r="D109" s="107">
        <v>75</v>
      </c>
      <c r="E109" s="107">
        <v>75</v>
      </c>
      <c r="F109" s="107">
        <v>75</v>
      </c>
      <c r="G109" s="793">
        <v>75</v>
      </c>
      <c r="H109" s="29"/>
      <c r="I109" s="56" t="str">
        <f>IF(Contents!$B$2=2,"PBCS 25","СОКБ 25")</f>
        <v>СОКБ 25</v>
      </c>
      <c r="K109" s="558">
        <v>1</v>
      </c>
      <c r="M109" s="22"/>
    </row>
    <row r="110" spans="2:13">
      <c r="B110" s="796" t="str">
        <f>IF(Contents!$B$2=2,"Over 50 years old","Старше 50 лет")</f>
        <v>Старше 50 лет</v>
      </c>
      <c r="C110" s="53" t="s">
        <v>0</v>
      </c>
      <c r="D110" s="107">
        <v>16</v>
      </c>
      <c r="E110" s="107">
        <v>17</v>
      </c>
      <c r="F110" s="107">
        <v>18</v>
      </c>
      <c r="G110" s="793">
        <v>18</v>
      </c>
      <c r="H110" s="29"/>
      <c r="I110" s="56" t="str">
        <f>IF(Contents!$B$2=2,"PBCS 25","СОКБ 25")</f>
        <v>СОКБ 25</v>
      </c>
      <c r="K110" s="558">
        <v>1</v>
      </c>
      <c r="M110" s="22"/>
    </row>
    <row r="111" spans="2:13">
      <c r="B111" s="23" t="str">
        <f>IF(Contents!$B$2=2,"by type of employment contract","по типу трудового договора")</f>
        <v>по типу трудового договора</v>
      </c>
      <c r="C111" s="77"/>
      <c r="D111" s="92"/>
      <c r="E111" s="92"/>
      <c r="F111" s="92"/>
      <c r="G111" s="92"/>
      <c r="H111" s="29"/>
      <c r="I111" s="39"/>
      <c r="K111" s="558"/>
      <c r="M111" s="22"/>
    </row>
    <row r="112" spans="2:13">
      <c r="B112" s="87" t="str">
        <f>IF(Contents!$B$2=2,"Percentage of employees working under permanent employment contracts","Доля работников, работающих по бессрочному трудовому договору")</f>
        <v>Доля работников, работающих по бессрочному трудовому договору</v>
      </c>
      <c r="C112" s="53" t="s">
        <v>7</v>
      </c>
      <c r="D112" s="797">
        <v>91</v>
      </c>
      <c r="E112" s="797">
        <v>91</v>
      </c>
      <c r="F112" s="797">
        <v>91</v>
      </c>
      <c r="G112" s="921">
        <v>93</v>
      </c>
      <c r="H112" s="29"/>
      <c r="I112" s="56" t="str">
        <f>IF(Contents!$B$2=2,"PBCS 25","СОКБ 25")</f>
        <v>СОКБ 25</v>
      </c>
      <c r="K112" s="558">
        <v>1</v>
      </c>
      <c r="M112" s="22"/>
    </row>
    <row r="113" spans="2:24">
      <c r="B113" s="87" t="str">
        <f>IF(Contents!$B$2=2,"Percentage of employees working under fixed-term employment contracts","Доля работников, работающих по срочному трудовому договору")</f>
        <v>Доля работников, работающих по срочному трудовому договору</v>
      </c>
      <c r="C113" s="53" t="s">
        <v>7</v>
      </c>
      <c r="D113" s="798">
        <v>9</v>
      </c>
      <c r="E113" s="798">
        <v>9</v>
      </c>
      <c r="F113" s="798">
        <v>9</v>
      </c>
      <c r="G113" s="922">
        <v>7</v>
      </c>
      <c r="H113" s="29"/>
      <c r="I113" s="56" t="str">
        <f>IF(Contents!$B$2=2,"PBCS 25","СОКБ 25")</f>
        <v>СОКБ 25</v>
      </c>
      <c r="K113" s="558">
        <v>1</v>
      </c>
      <c r="M113" s="22"/>
    </row>
    <row r="114" spans="2:24">
      <c r="B114" s="52"/>
      <c r="C114" s="53"/>
      <c r="H114" s="29"/>
      <c r="I114" s="39"/>
      <c r="K114" s="558"/>
      <c r="M114" s="22"/>
    </row>
    <row r="115" spans="2:24">
      <c r="B115" s="48" t="str">
        <f>IF(Contents!$B$2=2,"Personnel diversity","Многообразие персонала")</f>
        <v>Многообразие персонала</v>
      </c>
      <c r="C115" s="49"/>
      <c r="D115" s="50"/>
      <c r="E115" s="50"/>
      <c r="F115" s="50"/>
      <c r="G115" s="50"/>
      <c r="H115" s="29"/>
      <c r="I115" s="39"/>
      <c r="K115" s="558"/>
      <c r="M115" s="22"/>
    </row>
    <row r="116" spans="2:24">
      <c r="B116" s="52" t="str">
        <f>IF(Contents!$B$2=2,"Percentage of employees with disabilities","Доля работников, являющихся инвалидами")</f>
        <v>Доля работников, являющихся инвалидами</v>
      </c>
      <c r="C116" s="53" t="s">
        <v>0</v>
      </c>
      <c r="D116" s="799">
        <v>5.0000000000000001E-3</v>
      </c>
      <c r="E116" s="799">
        <v>0.01</v>
      </c>
      <c r="F116" s="799">
        <v>0.01</v>
      </c>
      <c r="G116" s="901">
        <v>1.4999999999999999E-2</v>
      </c>
      <c r="H116" s="29"/>
      <c r="I116" s="56" t="str">
        <f>IF(Contents!$B$2=2,"PBCS 23","СОКБ 23")</f>
        <v>СОКБ 23</v>
      </c>
      <c r="K116" s="558">
        <v>1</v>
      </c>
      <c r="M116" s="22"/>
    </row>
    <row r="117" spans="2:24">
      <c r="B117" s="25" t="str">
        <f>IF(Contents!$B$2=2,"Notes:","Примечания: ")</f>
        <v xml:space="preserve">Примечания: </v>
      </c>
      <c r="C117" s="412"/>
      <c r="D117" s="38"/>
      <c r="E117" s="38"/>
      <c r="F117" s="38"/>
      <c r="G117" s="38"/>
      <c r="H117" s="38"/>
      <c r="I117" s="38"/>
      <c r="J117" s="38"/>
      <c r="K117" s="38"/>
      <c r="L117" s="38"/>
      <c r="M117" s="38"/>
      <c r="N117" s="38"/>
      <c r="O117" s="38"/>
      <c r="P117" s="39"/>
      <c r="Q117" s="39"/>
      <c r="R117" s="39"/>
      <c r="S117" s="39"/>
      <c r="T117" s="589"/>
      <c r="U117" s="589"/>
      <c r="V117" s="589"/>
      <c r="W117" s="558"/>
      <c r="X117" s="589"/>
    </row>
    <row r="118" spans="2:24">
      <c r="B118" s="26" t="str">
        <f>IF(Contents!$B$2=2,C119, B119)</f>
        <v xml:space="preserve">Показатель является усредненным от доли работников, являющихся инвалидами по Группе Компаний, а также включает в себя долю работников, являющихся инвалидами, нанятых из сторонних организаций. Данный показатель был посчитан исходя из рекомендаций к подходу расчета Стандарта СОКБ и не может являться основанием для определения выполнения квоты в соответствии с постановлением Правительства РФ от 14.03.2022 № 366 «Об утверждении Правил выполнения работодателем квоты для приема на работу инвалидов при оформлении трудовых отношений с инвалидом на любое рабочее место», поскольку не учитывает региональный фактор. </v>
      </c>
      <c r="C118" s="53"/>
      <c r="D118" s="91"/>
      <c r="E118" s="91"/>
      <c r="F118" s="91"/>
      <c r="G118" s="91"/>
      <c r="H118" s="38"/>
      <c r="I118" s="39"/>
      <c r="K118" s="558"/>
      <c r="M118" s="595"/>
      <c r="N118" s="595"/>
      <c r="O118" s="22"/>
    </row>
    <row r="119" spans="2:24">
      <c r="B119" s="115" t="s">
        <v>244</v>
      </c>
      <c r="C119" s="115" t="s">
        <v>243</v>
      </c>
      <c r="D119" s="91"/>
      <c r="E119" s="91"/>
      <c r="F119" s="91"/>
      <c r="G119" s="91"/>
      <c r="H119" s="38"/>
      <c r="I119" s="39"/>
      <c r="K119" s="558"/>
      <c r="M119" s="595"/>
      <c r="N119" s="595"/>
      <c r="O119" s="22"/>
    </row>
    <row r="120" spans="2:24">
      <c r="B120" s="48" t="str">
        <f>IF(Contents!$B$2=2,"Staff turnover and new employees","Текучесть кадров и новые работники")</f>
        <v>Текучесть кадров и новые работники</v>
      </c>
      <c r="C120" s="49"/>
      <c r="D120" s="50"/>
      <c r="E120" s="50"/>
      <c r="F120" s="51"/>
      <c r="G120" s="51"/>
      <c r="H120" s="29"/>
      <c r="I120" s="39"/>
      <c r="K120" s="558"/>
      <c r="M120" s="22"/>
    </row>
    <row r="121" spans="2:24">
      <c r="B121" s="52" t="str">
        <f>IF(Contents!$B$2=2,"Staff turnover rate","Коэффициент текучести кадров")</f>
        <v>Коэффициент текучести кадров</v>
      </c>
      <c r="C121" s="53" t="s">
        <v>7</v>
      </c>
      <c r="D121" s="91">
        <v>7</v>
      </c>
      <c r="E121" s="91">
        <v>5</v>
      </c>
      <c r="F121" s="91">
        <v>5</v>
      </c>
      <c r="G121" s="91">
        <v>4</v>
      </c>
      <c r="H121" s="29"/>
      <c r="I121" s="56" t="str">
        <f>IF(Contents!$B$2=2,"PBCS 34","СОКБ 34")</f>
        <v>СОКБ 34</v>
      </c>
      <c r="K121" s="558">
        <v>1</v>
      </c>
      <c r="M121" s="22"/>
    </row>
    <row r="122" spans="2:24">
      <c r="B122" s="52"/>
      <c r="C122" s="53"/>
      <c r="D122" s="91"/>
      <c r="E122" s="91"/>
      <c r="F122" s="91"/>
      <c r="G122" s="91"/>
      <c r="H122" s="29"/>
      <c r="I122" s="39"/>
      <c r="K122" s="558"/>
      <c r="M122" s="22"/>
    </row>
    <row r="123" spans="2:24">
      <c r="B123" s="48" t="str">
        <f>IF(Contents!$B$2=2,"Social support for employees","Социальная поддержка работников")</f>
        <v>Социальная поддержка работников</v>
      </c>
      <c r="C123" s="49"/>
      <c r="D123" s="50"/>
      <c r="E123" s="50"/>
      <c r="F123" s="50"/>
      <c r="G123" s="50"/>
      <c r="H123" s="29"/>
      <c r="I123" s="39"/>
      <c r="K123" s="558"/>
      <c r="M123" s="22"/>
    </row>
    <row r="124" spans="2:24" ht="36">
      <c r="B124" s="52" t="str">
        <f>IF(Contents!$B$2=2,"Percentage of employees covered by collective bargaining agreements from the average number of employees","Доля работников, охваченных коллективным договором, в среднесписочной численности работников")</f>
        <v>Доля работников, охваченных коллективным договором, в среднесписочной численности работников</v>
      </c>
      <c r="C124" s="53" t="s">
        <v>7</v>
      </c>
      <c r="D124" s="91">
        <v>90</v>
      </c>
      <c r="E124" s="91">
        <v>89</v>
      </c>
      <c r="F124" s="91">
        <v>90</v>
      </c>
      <c r="G124" s="793">
        <v>83</v>
      </c>
      <c r="H124" s="29"/>
      <c r="I124" s="56" t="str">
        <f>IF(Contents!$B$2=2,"PBCS 33","СОКБ 33")</f>
        <v>СОКБ 33</v>
      </c>
      <c r="K124" s="558">
        <v>2</v>
      </c>
      <c r="M124" s="22"/>
    </row>
    <row r="125" spans="2:24" ht="36">
      <c r="B125" s="52" t="str">
        <f>IF(Contents!$B$2=2,"Expenses on organising and holding social, including sporting events for employees and their family members","Расходы на организацию и проведение социальных, в том числе спортивных мероприятий для работников и членов их семей")</f>
        <v>Расходы на организацию и проведение социальных, в том числе спортивных мероприятий для работников и членов их семей</v>
      </c>
      <c r="C125" s="53" t="str">
        <f>IF(Contents!$B$2=2,"RR th.","тыс. руб.")</f>
        <v>тыс. руб.</v>
      </c>
      <c r="D125" s="107">
        <v>2340000</v>
      </c>
      <c r="E125" s="107">
        <v>3636700</v>
      </c>
      <c r="F125" s="107">
        <v>4378510</v>
      </c>
      <c r="G125" s="793">
        <v>4238000</v>
      </c>
      <c r="H125" s="29"/>
      <c r="I125" s="56" t="str">
        <f>IF(Contents!$B$2=2,"PBCS 28","СОКБ 28")</f>
        <v>СОКБ 28</v>
      </c>
      <c r="K125" s="558">
        <v>2</v>
      </c>
      <c r="M125" s="22"/>
    </row>
    <row r="126" spans="2:24">
      <c r="B126"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126" s="53" t="str">
        <f>IF(Contents!$B$2=2,"RR th.","тыс. руб.")</f>
        <v>тыс. руб.</v>
      </c>
      <c r="D126" s="38">
        <v>125</v>
      </c>
      <c r="E126" s="38">
        <v>183</v>
      </c>
      <c r="F126" s="38">
        <v>207</v>
      </c>
      <c r="G126" s="89">
        <v>187</v>
      </c>
      <c r="H126" s="29"/>
      <c r="I126" s="56" t="str">
        <f>IF(Contents!$B$2=2,"PBCS 28","СОКБ 28")</f>
        <v>СОКБ 28</v>
      </c>
      <c r="K126" s="558">
        <v>2</v>
      </c>
      <c r="M126" s="22"/>
    </row>
    <row r="127" spans="2:24" ht="36">
      <c r="B127" s="52" t="str">
        <f>IF(Contents!$B$2=2,"Expenses on organising and implementing healthcare initiatives for employees and their family members","Расходы на организацию и проведение медицинских мероприятий для работников и членов их семей")</f>
        <v>Расходы на организацию и проведение медицинских мероприятий для работников и членов их семей</v>
      </c>
      <c r="C127" s="53" t="str">
        <f>IF(Contents!$B$2=2,"RR th.","тыс. руб.")</f>
        <v>тыс. руб.</v>
      </c>
      <c r="D127" s="107">
        <v>651600</v>
      </c>
      <c r="E127" s="107">
        <v>822100</v>
      </c>
      <c r="F127" s="107">
        <v>1214500</v>
      </c>
      <c r="G127" s="793">
        <v>1296000</v>
      </c>
      <c r="H127" s="29"/>
      <c r="I127" s="56" t="str">
        <f>IF(Contents!$B$2=2,"PBCS 36","СОКБ 36")</f>
        <v>СОКБ 36</v>
      </c>
      <c r="K127" s="558">
        <v>2</v>
      </c>
      <c r="M127" s="22"/>
    </row>
    <row r="128" spans="2:24">
      <c r="B128"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128" s="53" t="str">
        <f>IF(Contents!$B$2=2,"RR th.","тыс. руб.")</f>
        <v>тыс. руб.</v>
      </c>
      <c r="D128" s="38">
        <v>35</v>
      </c>
      <c r="E128" s="38">
        <v>41</v>
      </c>
      <c r="F128" s="38">
        <v>57</v>
      </c>
      <c r="G128" s="89">
        <v>57</v>
      </c>
      <c r="H128" s="96"/>
      <c r="I128" s="56" t="str">
        <f>IF(Contents!$B$2=2,"PBCS 36","СОКБ 36")</f>
        <v>СОКБ 36</v>
      </c>
      <c r="K128" s="558">
        <v>2</v>
      </c>
      <c r="M128" s="22"/>
    </row>
    <row r="129" spans="2:13" ht="36">
      <c r="B129" s="52" t="str">
        <f>IF(Contents!$B$2=2,"Costs to reintegrate (provide vocational rehabilitation to) employees with disabilities","Расходы на реинтеграцию (профессиональную реабилитацию) работников, получивших статус инвалидов")</f>
        <v>Расходы на реинтеграцию (профессиональную реабилитацию) работников, получивших статус инвалидов</v>
      </c>
      <c r="C129" s="53" t="str">
        <f>IF(Contents!$B$2=2,"RR th.","тыс. руб.")</f>
        <v>тыс. руб.</v>
      </c>
      <c r="D129" s="91" t="s">
        <v>185</v>
      </c>
      <c r="E129" s="91" t="s">
        <v>185</v>
      </c>
      <c r="F129" s="91" t="s">
        <v>185</v>
      </c>
      <c r="G129" s="793" t="s">
        <v>185</v>
      </c>
      <c r="H129" s="29"/>
      <c r="I129" s="56" t="str">
        <f>IF(Contents!$B$2=2,"PBCS 22","СОКБ 22")</f>
        <v>СОКБ 22</v>
      </c>
      <c r="K129" s="558">
        <v>2</v>
      </c>
      <c r="M129" s="22"/>
    </row>
    <row r="130" spans="2:13">
      <c r="B130" s="115"/>
      <c r="C130" s="115"/>
      <c r="D130" s="91"/>
      <c r="E130" s="91"/>
      <c r="F130" s="91"/>
      <c r="G130" s="91"/>
      <c r="H130" s="29"/>
      <c r="I130" s="39"/>
      <c r="K130" s="558"/>
      <c r="M130" s="22"/>
    </row>
    <row r="131" spans="2:13">
      <c r="B131" s="48" t="str">
        <f>IF(Contents!$B$2=2,"Personnel training and development","Обучение и развитие персонала")</f>
        <v>Обучение и развитие персонала</v>
      </c>
      <c r="C131" s="49"/>
      <c r="D131" s="50"/>
      <c r="E131" s="50"/>
      <c r="F131" s="50"/>
      <c r="G131" s="50"/>
      <c r="H131" s="29"/>
      <c r="I131" s="39"/>
      <c r="K131" s="558"/>
      <c r="M131" s="22"/>
    </row>
    <row r="132" spans="2:13">
      <c r="B132" s="52" t="str">
        <f>IF(Contents!$B$2=2,"Expenses on employee training","Расходы на обучение работников")</f>
        <v>Расходы на обучение работников</v>
      </c>
      <c r="C132" s="53" t="str">
        <f>IF(Contents!$B$2=2,"RR th.","тыс. руб.")</f>
        <v>тыс. руб.</v>
      </c>
      <c r="D132" s="101">
        <v>80500</v>
      </c>
      <c r="E132" s="101">
        <v>174500</v>
      </c>
      <c r="F132" s="101">
        <v>198000</v>
      </c>
      <c r="G132" s="204">
        <v>217000</v>
      </c>
      <c r="H132" s="29"/>
      <c r="I132" s="56" t="str">
        <f>IF(Contents!$B$2=2,"PBCS 31","СОКБ 31")</f>
        <v>СОКБ 31</v>
      </c>
      <c r="K132" s="558">
        <v>1</v>
      </c>
      <c r="M132" s="22"/>
    </row>
    <row r="133" spans="2:13">
      <c r="B133"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133" s="53" t="str">
        <f>IF(Contents!$B$2=2,"RR th.","тыс. руб.")</f>
        <v>тыс. руб.</v>
      </c>
      <c r="D133" s="378">
        <v>4.3</v>
      </c>
      <c r="E133" s="378">
        <v>8.8000000000000007</v>
      </c>
      <c r="F133" s="378">
        <v>9.4</v>
      </c>
      <c r="G133" s="97">
        <v>9.6</v>
      </c>
      <c r="H133" s="29"/>
      <c r="I133" s="56" t="str">
        <f>IF(Contents!$B$2=2,"PBCS 31","СОКБ 31")</f>
        <v>СОКБ 31</v>
      </c>
      <c r="K133" s="558">
        <v>1</v>
      </c>
      <c r="M133" s="22"/>
    </row>
    <row r="134" spans="2:13" ht="36">
      <c r="B134" s="52" t="str">
        <f>IF(Contents!$B$2=2,"Average number of training hours per year per employee (per headcount at the end of the year)","Среднее количество часов обучения в год на одного работника (на списочную численность на конец года)")</f>
        <v>Среднее количество часов обучения в год на одного работника (на списочную численность на конец года)</v>
      </c>
      <c r="C134" s="53" t="str">
        <f>IF(Contents!$B$2=2,"hour / people","часов / человека")</f>
        <v>часов / человека</v>
      </c>
      <c r="D134" s="107">
        <v>54</v>
      </c>
      <c r="E134" s="107">
        <v>54</v>
      </c>
      <c r="F134" s="107">
        <v>59</v>
      </c>
      <c r="G134" s="793">
        <v>47</v>
      </c>
      <c r="H134" s="29"/>
      <c r="I134" s="56" t="str">
        <f>IF(Contents!$B$2=2,"PBCS 32","СОКБ 32")</f>
        <v>СОКБ 32</v>
      </c>
      <c r="K134" s="558">
        <v>1</v>
      </c>
      <c r="M134" s="22"/>
    </row>
    <row r="135" spans="2:13">
      <c r="B135" s="52"/>
      <c r="C135" s="53"/>
      <c r="D135" s="91"/>
      <c r="E135" s="91"/>
      <c r="F135" s="91"/>
      <c r="G135" s="91"/>
      <c r="H135" s="29"/>
      <c r="I135" s="39"/>
      <c r="K135" s="558"/>
      <c r="M135" s="22"/>
    </row>
    <row r="136" spans="2:13">
      <c r="B136" s="48" t="str">
        <f>IF(Contents!$B$2=2,"Compliance with labour legislation","Соблюдение требований трудового законодательства")</f>
        <v>Соблюдение требований трудового законодательства</v>
      </c>
      <c r="C136" s="49"/>
      <c r="D136" s="50"/>
      <c r="E136" s="50"/>
      <c r="F136" s="50"/>
      <c r="G136" s="50"/>
      <c r="H136" s="29"/>
      <c r="I136" s="39"/>
      <c r="K136" s="558"/>
      <c r="M136" s="22"/>
    </row>
    <row r="137" spans="2:13" ht="36">
      <c r="B137" s="52" t="str">
        <f>IF(Contents!$B$2=2,"Fines and penalties imposed and measures taken in connection with violations of labour legislation and other acts containing labour law norms","Наложенные штрафы и меры ответственности в связи с нарушением трудового законодательства и иных актов, содержащих нормы трудового права")</f>
        <v>Наложенные штрафы и меры ответственности в связи с нарушением трудового законодательства и иных актов, содержащих нормы трудового права</v>
      </c>
      <c r="C137" s="53" t="str">
        <f>IF(Contents!$B$2=2,"RR th.","тыс. руб.")</f>
        <v>тыс. руб.</v>
      </c>
      <c r="D137" s="96" t="s">
        <v>185</v>
      </c>
      <c r="E137" s="96" t="s">
        <v>185</v>
      </c>
      <c r="F137" s="96">
        <v>0</v>
      </c>
      <c r="G137" s="95">
        <v>0</v>
      </c>
      <c r="H137" s="29"/>
      <c r="I137" s="56" t="str">
        <f>IF(Contents!$B$2=2,"PBCS 38","СОКБ 38")</f>
        <v>СОКБ 38</v>
      </c>
      <c r="K137" s="558">
        <v>1</v>
      </c>
      <c r="M137" s="22"/>
    </row>
    <row r="138" spans="2:13">
      <c r="B138" s="52"/>
      <c r="C138" s="53"/>
      <c r="D138" s="82"/>
      <c r="E138" s="82"/>
      <c r="F138" s="82"/>
      <c r="G138" s="82"/>
      <c r="H138" s="29"/>
      <c r="I138" s="39"/>
      <c r="K138" s="558"/>
      <c r="M138" s="22"/>
    </row>
    <row r="139" spans="2:13">
      <c r="B139" s="48" t="str">
        <f>IF(Contents!$B$2=2,"Occupational health and safety (OHS)","Охрана труда и промышленная безопасность (ОТиПБ)")</f>
        <v>Охрана труда и промышленная безопасность (ОТиПБ)</v>
      </c>
      <c r="C139" s="49"/>
      <c r="D139" s="50"/>
      <c r="E139" s="50"/>
      <c r="F139" s="50"/>
      <c r="G139" s="50"/>
      <c r="H139" s="29"/>
      <c r="I139" s="39"/>
      <c r="K139" s="558"/>
      <c r="M139" s="22"/>
    </row>
    <row r="140" spans="2:13" ht="36">
      <c r="B140" s="750" t="str">
        <f>IF(Contents!$B$2=2,"Lost Time Injury Frequency Rate (LTIFR) per 1,000,000 man-hours for the organization's personnel excluding contractor personnel","Коэффициент частоты производственного травматизма персонала организации без учета персонала подрядчиков (LTIFR) на 1 000 000 человеко-часов")</f>
        <v>Коэффициент частоты производственного травматизма персонала организации без учета персонала подрядчиков (LTIFR) на 1 000 000 человеко-часов</v>
      </c>
      <c r="C140" s="754" t="str">
        <f>IF(Contents!$B$2=2,"rate","коэффициент")</f>
        <v>коэффициент</v>
      </c>
      <c r="D140" s="753">
        <v>0.4</v>
      </c>
      <c r="E140" s="753">
        <v>0.28000000000000003</v>
      </c>
      <c r="F140" s="753">
        <v>0.26</v>
      </c>
      <c r="G140" s="902">
        <v>0.19</v>
      </c>
      <c r="I140" s="56" t="str">
        <f>IF(Contents!$B$2=2,"PBCS 29","СОКБ 29")</f>
        <v>СОКБ 29</v>
      </c>
      <c r="K140" s="56">
        <v>1</v>
      </c>
    </row>
    <row r="141" spans="2:13" ht="36">
      <c r="B141" s="52" t="str">
        <f>IF(Contents!$B$2=2,"Number of fatalities of the organization's employees, excluding contractor personnel","Количество смертельных случаев работников организации без учета персонала подрядчиков")</f>
        <v>Количество смертельных случаев работников организации без учета персонала подрядчиков</v>
      </c>
      <c r="C141" s="53" t="str">
        <f>IF(Contents!$B$2=2,"unit","ед.")</f>
        <v>ед.</v>
      </c>
      <c r="D141" s="82">
        <v>1</v>
      </c>
      <c r="E141" s="82">
        <v>2</v>
      </c>
      <c r="F141" s="82">
        <v>2</v>
      </c>
      <c r="G141" s="900">
        <v>0</v>
      </c>
      <c r="I141" s="56" t="str">
        <f>IF(Contents!$B$2=2,"PBCS 30","СОКБ 30")</f>
        <v>СОКБ 30</v>
      </c>
      <c r="K141" s="56">
        <v>1</v>
      </c>
      <c r="M141" s="22"/>
    </row>
    <row r="142" spans="2:13" ht="36" customHeight="1">
      <c r="B142" s="52" t="str">
        <f>IF(Contents!$B$2=2,"Expenses on labor protection and industrial safety, fire safety and security of facilities","Расходы на охрану труда и промышленную безопасность, пожарную безопасность и охрану объектов")</f>
        <v>Расходы на охрану труда и промышленную безопасность, пожарную безопасность и охрану объектов</v>
      </c>
      <c r="C142" s="53" t="str">
        <f>IF(Contents!$B$2=2,"RR th.","тыс. руб.")</f>
        <v>тыс. руб.</v>
      </c>
      <c r="D142" s="100">
        <v>3600000</v>
      </c>
      <c r="E142" s="96">
        <v>5029318</v>
      </c>
      <c r="F142" s="96">
        <v>6629925</v>
      </c>
      <c r="G142" s="95">
        <v>7193000</v>
      </c>
      <c r="I142" s="56" t="str">
        <f>IF(Contents!$B$2=2,"PBCS 27","СОКБ 27")</f>
        <v>СОКБ 27</v>
      </c>
      <c r="K142" s="56">
        <v>3</v>
      </c>
    </row>
    <row r="143" spans="2:13">
      <c r="B143"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143" s="53" t="str">
        <f>IF(Contents!$B$2=2,"RR th.","тыс. руб.")</f>
        <v>тыс. руб.</v>
      </c>
      <c r="D143" s="777">
        <v>192</v>
      </c>
      <c r="E143" s="777">
        <v>253</v>
      </c>
      <c r="F143" s="777">
        <v>313</v>
      </c>
      <c r="G143" s="913">
        <v>318</v>
      </c>
      <c r="I143" s="56" t="str">
        <f>IF(Contents!$B$2=2,"PBCS 27","СОКБ 27")</f>
        <v>СОКБ 27</v>
      </c>
      <c r="K143" s="56">
        <v>2</v>
      </c>
    </row>
    <row r="144" spans="2:13">
      <c r="B144" s="87"/>
      <c r="C144" s="53"/>
      <c r="D144" s="82"/>
      <c r="E144" s="82"/>
      <c r="F144" s="82"/>
      <c r="G144" s="82"/>
      <c r="H144" s="29"/>
      <c r="I144" s="39"/>
      <c r="K144" s="558"/>
      <c r="M144" s="22"/>
    </row>
    <row r="145" spans="2:13">
      <c r="B145" s="48" t="str">
        <f>IF(Contents!$B$2=2,"External social Expenses","Внешние социальные расходы")</f>
        <v>Внешние социальные расходы</v>
      </c>
      <c r="C145" s="49"/>
      <c r="D145" s="50"/>
      <c r="E145" s="50"/>
      <c r="F145" s="50"/>
      <c r="G145" s="50"/>
      <c r="H145" s="29"/>
      <c r="I145" s="39"/>
      <c r="K145" s="558"/>
      <c r="M145" s="22"/>
    </row>
    <row r="146" spans="2:13" ht="36">
      <c r="B146" s="52" t="str">
        <f>IF(Contents!$B$2=2,"Expenses on participation in support of social, including charitable programs not aimed at employees and their family members","Расходы на участие в поддержке социальных, в том числе благотворительных программ, не направленных на работников и членов их семей")</f>
        <v>Расходы на участие в поддержке социальных, в том числе благотворительных программ, не направленных на работников и членов их семей</v>
      </c>
      <c r="C146" s="53" t="str">
        <f>IF(Contents!$B$2=2,"RR th.","тыс. руб.")</f>
        <v>тыс. руб.</v>
      </c>
      <c r="D146" s="99" t="s">
        <v>185</v>
      </c>
      <c r="E146" s="102">
        <v>2523012</v>
      </c>
      <c r="F146" s="102">
        <v>2227183</v>
      </c>
      <c r="G146" s="102">
        <v>2251700</v>
      </c>
      <c r="H146" s="29"/>
      <c r="I146" s="56" t="str">
        <f>IF(Contents!$B$2=2,"PBCS 35","СОКБ 35")</f>
        <v>СОКБ 35</v>
      </c>
      <c r="K146" s="56">
        <v>2</v>
      </c>
      <c r="M146" s="22"/>
    </row>
    <row r="147" spans="2:13">
      <c r="B147" s="23" t="str">
        <f>IF(Contents!$B$2=2,"by area","по сферам")</f>
        <v>по сферам</v>
      </c>
      <c r="C147" s="77"/>
      <c r="D147" s="84"/>
      <c r="E147" s="84"/>
      <c r="F147" s="84"/>
      <c r="G147" s="84"/>
      <c r="H147" s="29"/>
      <c r="I147" s="39"/>
      <c r="K147" s="558"/>
      <c r="M147" s="22"/>
    </row>
    <row r="148" spans="2:13">
      <c r="B148" s="87" t="str">
        <f>IF(Contents!$B$2=2,"Healthcare","Здравоохранение")</f>
        <v>Здравоохранение</v>
      </c>
      <c r="C148" s="53" t="str">
        <f>IF(Contents!$B$2=2,"RR th.","тыс. руб.")</f>
        <v>тыс. руб.</v>
      </c>
      <c r="D148" s="99" t="s">
        <v>185</v>
      </c>
      <c r="E148" s="102">
        <v>28200</v>
      </c>
      <c r="F148" s="58">
        <v>66800</v>
      </c>
      <c r="G148" s="98">
        <v>337300</v>
      </c>
      <c r="H148" s="29"/>
      <c r="I148" s="56" t="str">
        <f>IF(Contents!$B$2=2,"PBCS 35","СОКБ 35")</f>
        <v>СОКБ 35</v>
      </c>
      <c r="K148" s="56">
        <v>2</v>
      </c>
      <c r="M148" s="22"/>
    </row>
    <row r="149" spans="2:13">
      <c r="B149" s="87" t="str">
        <f>IF(Contents!$B$2=2,"Education and science","Образование и наука")</f>
        <v>Образование и наука</v>
      </c>
      <c r="C149" s="53" t="str">
        <f>IF(Contents!$B$2=2,"RR th.","тыс. руб.")</f>
        <v>тыс. руб.</v>
      </c>
      <c r="D149" s="99" t="s">
        <v>185</v>
      </c>
      <c r="E149" s="102">
        <v>37500</v>
      </c>
      <c r="F149" s="58">
        <v>52400</v>
      </c>
      <c r="G149" s="98">
        <v>101500</v>
      </c>
      <c r="H149" s="29"/>
      <c r="I149" s="56" t="str">
        <f>IF(Contents!$B$2=2,"PBCS 35","СОКБ 35")</f>
        <v>СОКБ 35</v>
      </c>
      <c r="K149" s="56">
        <v>2</v>
      </c>
      <c r="M149" s="22"/>
    </row>
    <row r="150" spans="2:13">
      <c r="B150" s="87" t="str">
        <f>IF(Contents!$B$2=2,"Sports","Спорт")</f>
        <v>Спорт</v>
      </c>
      <c r="C150" s="53" t="str">
        <f>IF(Contents!$B$2=2,"RR th.","тыс. руб.")</f>
        <v>тыс. руб.</v>
      </c>
      <c r="D150" s="99" t="s">
        <v>185</v>
      </c>
      <c r="E150" s="102">
        <v>54200</v>
      </c>
      <c r="F150" s="58">
        <v>73600</v>
      </c>
      <c r="G150" s="98">
        <v>99900</v>
      </c>
      <c r="H150" s="29"/>
      <c r="I150" s="56" t="str">
        <f>IF(Contents!$B$2=2,"PBCS 35","СОКБ 35")</f>
        <v>СОКБ 35</v>
      </c>
      <c r="K150" s="56">
        <v>2</v>
      </c>
      <c r="M150" s="22"/>
    </row>
    <row r="151" spans="2:13">
      <c r="B151" s="87" t="str">
        <f>IF(Contents!$B$2=2,"Culture and arts","Культура и искусство")</f>
        <v>Культура и искусство</v>
      </c>
      <c r="C151" s="53" t="str">
        <f>IF(Contents!$B$2=2,"RR th.","тыс. руб.")</f>
        <v>тыс. руб.</v>
      </c>
      <c r="D151" s="99" t="s">
        <v>185</v>
      </c>
      <c r="E151" s="102">
        <v>1200</v>
      </c>
      <c r="F151" s="58">
        <v>234900</v>
      </c>
      <c r="G151" s="98">
        <v>219400</v>
      </c>
      <c r="H151" s="29"/>
      <c r="I151" s="56" t="str">
        <f>IF(Contents!$B$2=2,"PBCS 35","СОКБ 35")</f>
        <v>СОКБ 35</v>
      </c>
      <c r="K151" s="56">
        <v>2</v>
      </c>
      <c r="M151" s="22"/>
    </row>
    <row r="152" spans="2:13">
      <c r="B152" s="87" t="str">
        <f>IF(Contents!$B$2=2,"Improvement and development of a comfortable urban environment","Благоустройство и развитие комфортной городской среды")</f>
        <v>Благоустройство и развитие комфортной городской среды</v>
      </c>
      <c r="C152" s="53" t="str">
        <f>IF(Contents!$B$2=2,"RR th.","тыс. руб.")</f>
        <v>тыс. руб.</v>
      </c>
      <c r="D152" s="99" t="s">
        <v>185</v>
      </c>
      <c r="E152" s="96">
        <v>2401912</v>
      </c>
      <c r="F152" s="96">
        <v>1799483</v>
      </c>
      <c r="G152" s="98">
        <v>1493600</v>
      </c>
      <c r="H152" s="29"/>
      <c r="I152" s="56" t="str">
        <f>IF(Contents!$B$2=2,"PBCS 35","СОКБ 35")</f>
        <v>СОКБ 35</v>
      </c>
      <c r="K152" s="56">
        <v>2</v>
      </c>
      <c r="M152" s="22"/>
    </row>
    <row r="153" spans="2:13">
      <c r="B153" s="115" t="s">
        <v>11</v>
      </c>
      <c r="C153" s="115" t="s">
        <v>38</v>
      </c>
      <c r="D153" s="99"/>
      <c r="E153" s="99"/>
      <c r="F153" s="99"/>
      <c r="G153" s="99"/>
      <c r="H153" s="29"/>
      <c r="I153" s="39"/>
      <c r="K153" s="558"/>
      <c r="M153" s="22"/>
    </row>
    <row r="154" spans="2:13">
      <c r="B154" s="48" t="str">
        <f>IF(Contents!$B$2=2,"Corporate volunteering","Корпоративное волонтерство")</f>
        <v>Корпоративное волонтерство</v>
      </c>
      <c r="C154" s="49"/>
      <c r="D154" s="50"/>
      <c r="E154" s="50"/>
      <c r="F154" s="50"/>
      <c r="G154" s="50"/>
      <c r="H154" s="29"/>
      <c r="I154" s="39"/>
      <c r="K154" s="558"/>
      <c r="M154" s="22"/>
    </row>
    <row r="155" spans="2:13" ht="36">
      <c r="B155" s="52" t="str">
        <f>IF(Contents!$B$2=2,"Percentage of employees participating in corporate volunteering projects (average number of employees)","Доля работников, принимающих участие в проектах корпоративного добровольчества (волонтерства) (на среднесписочную численность работников)")</f>
        <v>Доля работников, принимающих участие в проектах корпоративного добровольчества (волонтерства) (на среднесписочную численность работников)</v>
      </c>
      <c r="C155" s="53" t="s">
        <v>7</v>
      </c>
      <c r="D155" s="37" t="s">
        <v>185</v>
      </c>
      <c r="E155" s="37" t="s">
        <v>185</v>
      </c>
      <c r="F155" s="37">
        <v>6.6</v>
      </c>
      <c r="G155" s="903">
        <v>10</v>
      </c>
      <c r="I155" s="56" t="str">
        <f>IF(Contents!$B$2=2,"PBCS 37","СОКБ 37")</f>
        <v>СОКБ 37</v>
      </c>
      <c r="K155" s="558">
        <v>1</v>
      </c>
    </row>
    <row r="156" spans="2:13">
      <c r="B156" s="697" t="str">
        <f>IF(Contents!$B$2=2, "Number of volunteer projects", "Количество волонтерских проектов")</f>
        <v>Количество волонтерских проектов</v>
      </c>
      <c r="C156" s="447" t="str">
        <f>IF(Contents!$B$2=2,"unit","ед.")</f>
        <v>ед.</v>
      </c>
      <c r="D156" s="696" t="s">
        <v>185</v>
      </c>
      <c r="E156" s="696" t="s">
        <v>185</v>
      </c>
      <c r="F156" s="58">
        <v>7</v>
      </c>
      <c r="G156" s="98">
        <v>8</v>
      </c>
      <c r="H156" s="29"/>
      <c r="I156" s="56" t="str">
        <f>IF(Contents!$B$2=2,"PBCS 37","СОКБ 37")</f>
        <v>СОКБ 37</v>
      </c>
      <c r="K156" s="558">
        <v>1</v>
      </c>
      <c r="M156" s="22"/>
    </row>
    <row r="157" spans="2:13">
      <c r="B157" s="25" t="str">
        <f>IF(Contents!$B$2=2,"Notes:","Примечания:")</f>
        <v>Примечания:</v>
      </c>
      <c r="C157" s="53"/>
      <c r="D157" s="99"/>
      <c r="E157" s="99"/>
      <c r="F157" s="99"/>
      <c r="G157" s="99"/>
      <c r="H157" s="29"/>
      <c r="I157" s="56"/>
      <c r="K157" s="558"/>
      <c r="M157" s="22"/>
    </row>
    <row r="158" spans="2:13">
      <c r="B158" s="26" t="str">
        <f>IF(Contents!$B$2=2,"Employees who took part in environmental clean-ups and events are taken into account when calculating the Percentage of employee volunteers.","В расчете доли волонтеров среди работников учтены работники, принявшие участие в экологических субботниках и мероприятиях.")</f>
        <v>В расчете доли волонтеров среди работников учтены работники, принявшие участие в экологических субботниках и мероприятиях.</v>
      </c>
      <c r="C158" s="53"/>
      <c r="D158" s="82"/>
      <c r="E158" s="82"/>
      <c r="F158" s="82"/>
      <c r="G158" s="82"/>
      <c r="H158" s="29"/>
      <c r="I158" s="39"/>
      <c r="K158" s="558"/>
      <c r="M158" s="22"/>
    </row>
    <row r="159" spans="2:13">
      <c r="B159" s="26"/>
      <c r="C159" s="53"/>
      <c r="D159" s="82"/>
      <c r="E159" s="82"/>
      <c r="F159" s="82"/>
      <c r="G159" s="82"/>
      <c r="H159" s="29"/>
      <c r="I159" s="39"/>
      <c r="K159" s="558"/>
      <c r="M159" s="22"/>
    </row>
    <row r="160" spans="2:13">
      <c r="B160" s="48" t="str">
        <f>IF(Contents!$B$2=2,"Family and parenthood support ","Поддержка семьи и родительства")</f>
        <v>Поддержка семьи и родительства</v>
      </c>
      <c r="C160" s="49"/>
      <c r="D160" s="50"/>
      <c r="E160" s="50"/>
      <c r="F160" s="50"/>
      <c r="G160" s="50"/>
      <c r="H160" s="29"/>
      <c r="I160" s="39"/>
      <c r="K160" s="558"/>
      <c r="M160" s="22"/>
    </row>
    <row r="161" spans="2:18">
      <c r="B161" s="52" t="str">
        <f>IF(Contents!$B$2=2,"Percentage of employees participating in corporate volunteering projects, and the total number of corporate volunteering projects","Среднее число детей в возрасте до 6 лет на одного сотрудника")</f>
        <v>Среднее число детей в возрасте до 6 лет на одного сотрудника</v>
      </c>
      <c r="C161" s="53" t="str">
        <f>IF(Contents!$B$2=2,"people","человек")</f>
        <v>человек</v>
      </c>
      <c r="D161" s="37" t="s">
        <v>185</v>
      </c>
      <c r="E161" s="37" t="s">
        <v>185</v>
      </c>
      <c r="F161" s="37" t="s">
        <v>185</v>
      </c>
      <c r="G161" s="903">
        <v>0.3</v>
      </c>
      <c r="I161" s="56" t="str">
        <f>IF(Contents!$B$2=2,"PBCS 39","СОКБ 39")</f>
        <v>СОКБ 39</v>
      </c>
      <c r="K161" s="558">
        <v>1</v>
      </c>
      <c r="M161" s="22"/>
    </row>
    <row r="162" spans="2:18">
      <c r="B162" s="697" t="str">
        <f>IF(Contents!$B$2=2, "Average number of children per employee", "Среднее число детей на одного работника")</f>
        <v>Среднее число детей на одного работника</v>
      </c>
      <c r="C162" s="53" t="str">
        <f>IF(Contents!$B$2=2,"people","человек")</f>
        <v>человек</v>
      </c>
      <c r="D162" s="696" t="s">
        <v>185</v>
      </c>
      <c r="E162" s="696" t="s">
        <v>185</v>
      </c>
      <c r="F162" s="37" t="s">
        <v>185</v>
      </c>
      <c r="G162" s="98">
        <v>1</v>
      </c>
      <c r="H162" s="29"/>
      <c r="I162" s="56" t="str">
        <f>IF(Contents!$B$2=2,"PBCS 40","СОКБ 40")</f>
        <v>СОКБ 40</v>
      </c>
      <c r="K162" s="558">
        <v>1</v>
      </c>
      <c r="M162" s="22"/>
    </row>
    <row r="163" spans="2:18">
      <c r="B163" s="697" t="str">
        <f>IF(Contents!$B$2=2,"Percentage of parents having three or more children in the total number of employees", "Доля многодетных родителей от общего числа сотрудников")</f>
        <v>Доля многодетных родителей от общего числа сотрудников</v>
      </c>
      <c r="C163" s="53" t="s">
        <v>7</v>
      </c>
      <c r="D163" s="696" t="s">
        <v>185</v>
      </c>
      <c r="E163" s="696" t="s">
        <v>185</v>
      </c>
      <c r="F163" s="37" t="s">
        <v>185</v>
      </c>
      <c r="G163" s="903" t="s">
        <v>185</v>
      </c>
      <c r="H163" s="29"/>
      <c r="I163" s="56" t="str">
        <f>IF(Contents!$B$2=2,"PBCS 41","СОКБ 41")</f>
        <v>СОКБ 41</v>
      </c>
      <c r="K163" s="558">
        <v>1</v>
      </c>
      <c r="M163" s="22"/>
    </row>
    <row r="164" spans="2:18">
      <c r="B164" s="697" t="str">
        <f>IF(Contents!$B$2=2, "Percentage of employees being in a registered marriage", "Доля работников, состоящих в зарегистрированном браке")</f>
        <v>Доля работников, состоящих в зарегистрированном браке</v>
      </c>
      <c r="C164" s="53" t="s">
        <v>7</v>
      </c>
      <c r="D164" s="696" t="s">
        <v>185</v>
      </c>
      <c r="E164" s="696" t="s">
        <v>185</v>
      </c>
      <c r="F164" s="37" t="s">
        <v>185</v>
      </c>
      <c r="G164" s="900">
        <v>74</v>
      </c>
      <c r="H164" s="29"/>
      <c r="I164" s="56" t="str">
        <f>IF(Contents!$B$2=2,"PBCS 42","СОКБ 42")</f>
        <v>СОКБ 42</v>
      </c>
      <c r="K164" s="558">
        <v>1</v>
      </c>
      <c r="M164" s="22"/>
    </row>
    <row r="165" spans="2:18" ht="54">
      <c r="B165" s="52" t="str">
        <f>IF(Contents!$B$2=2,Q165,P165)</f>
        <v>Размер единовременной выплаты (в том числе в виде материальной помощи), осуществляемой работникам при рождении ребенка, выплачиваемой в течение первого года после рождения ребенка</v>
      </c>
      <c r="C165" s="53" t="str">
        <f>IF(Contents!$B$2=2,"RR th.","тыс. руб.")</f>
        <v>тыс. руб.</v>
      </c>
      <c r="D165" s="99" t="s">
        <v>185</v>
      </c>
      <c r="E165" s="99" t="s">
        <v>185</v>
      </c>
      <c r="F165" s="99" t="s">
        <v>185</v>
      </c>
      <c r="G165" s="904" t="s">
        <v>241</v>
      </c>
      <c r="H165" s="29"/>
      <c r="I165" s="56" t="str">
        <f>IF(Contents!$B$2=2,"PBCS 35","СОКБ 35")</f>
        <v>СОКБ 35</v>
      </c>
      <c r="K165" s="558">
        <v>1</v>
      </c>
      <c r="M165" s="22"/>
      <c r="P165" s="117" t="s">
        <v>200</v>
      </c>
      <c r="Q165" s="117" t="s">
        <v>199</v>
      </c>
      <c r="R165" s="117"/>
    </row>
    <row r="166" spans="2:18">
      <c r="B166" s="26"/>
      <c r="C166" s="53"/>
      <c r="D166" s="82"/>
      <c r="E166" s="82"/>
      <c r="F166" s="82"/>
      <c r="G166" s="82"/>
      <c r="H166" s="29"/>
      <c r="I166" s="39"/>
      <c r="K166" s="558"/>
      <c r="M166" s="22"/>
    </row>
    <row r="167" spans="2:18">
      <c r="B167" s="45" t="str">
        <f>IF(Contents!$B$2=2,"Management indicators","Управленческие показатели")</f>
        <v>Управленческие показатели</v>
      </c>
      <c r="C167" s="45"/>
      <c r="D167" s="719"/>
      <c r="E167" s="719"/>
      <c r="F167" s="719"/>
      <c r="G167" s="719"/>
      <c r="H167" s="29"/>
      <c r="I167" s="39"/>
      <c r="K167" s="558"/>
      <c r="M167" s="22"/>
    </row>
    <row r="168" spans="2:18">
      <c r="B168" s="48" t="str">
        <f>IF(Contents!$B$2=2,"Board of Directors","Совет директоров")</f>
        <v>Совет директоров</v>
      </c>
      <c r="C168" s="49"/>
      <c r="D168" s="50"/>
      <c r="E168" s="50"/>
      <c r="F168" s="51"/>
      <c r="G168" s="51"/>
      <c r="H168" s="29"/>
      <c r="I168" s="39"/>
      <c r="K168" s="558"/>
      <c r="M168" s="22"/>
    </row>
    <row r="169" spans="2:18">
      <c r="B169" s="750" t="str">
        <f>IF(Contents!$B$2=2,"Percentage of independent directors in the collegiate management body","Доля независимых директоров в составе коллегиального органа управления")</f>
        <v>Доля независимых директоров в составе коллегиального органа управления</v>
      </c>
      <c r="C169" s="53" t="s">
        <v>7</v>
      </c>
      <c r="D169" s="101">
        <v>33</v>
      </c>
      <c r="E169" s="101">
        <v>56</v>
      </c>
      <c r="F169" s="101">
        <v>56</v>
      </c>
      <c r="G169" s="204">
        <v>56</v>
      </c>
      <c r="H169" s="29"/>
      <c r="I169" s="56" t="str">
        <f>IF(Contents!$B$2=2,"PBCS 48","СОКБ 48")</f>
        <v>СОКБ 48</v>
      </c>
      <c r="K169" s="558">
        <v>2</v>
      </c>
      <c r="M169" s="22"/>
    </row>
    <row r="170" spans="2:18">
      <c r="B170" s="750" t="str">
        <f>IF(Contents!$B$2=2,"Percentage of female managers in the total number of managers ","Доля женщин–руководителей в общей численности руководителей ")</f>
        <v xml:space="preserve">Доля женщин–руководителей в общей численности руководителей </v>
      </c>
      <c r="C170" s="53" t="s">
        <v>7</v>
      </c>
      <c r="D170" s="82">
        <v>20</v>
      </c>
      <c r="E170" s="82">
        <v>20</v>
      </c>
      <c r="F170" s="82">
        <v>20</v>
      </c>
      <c r="G170" s="906">
        <v>21</v>
      </c>
      <c r="H170" s="29"/>
      <c r="I170" s="56" t="str">
        <f>IF(Contents!$B$2=2,"PBCS 49","СОКБ 49")</f>
        <v>СОКБ 49</v>
      </c>
      <c r="K170" s="558">
        <v>2</v>
      </c>
      <c r="M170" s="22"/>
    </row>
    <row r="171" spans="2:18">
      <c r="B171" s="52" t="str">
        <f>IF(Contents!$B$2=2,"Percentage of female managers in the collegiate management body","Доля женщин-руководителей в коллегиальном органе управления")</f>
        <v>Доля женщин-руководителей в коллегиальном органе управления</v>
      </c>
      <c r="C171" s="53" t="s">
        <v>7</v>
      </c>
      <c r="D171" s="101">
        <v>8</v>
      </c>
      <c r="E171" s="101">
        <v>8</v>
      </c>
      <c r="F171" s="101">
        <v>7</v>
      </c>
      <c r="G171" s="204">
        <v>7</v>
      </c>
      <c r="H171" s="29"/>
      <c r="I171" s="56" t="str">
        <f>IF(Contents!$B$2=2,"PBCS 49","СОКБ 49")</f>
        <v>СОКБ 49</v>
      </c>
      <c r="K171" s="558">
        <v>2</v>
      </c>
      <c r="M171" s="22"/>
    </row>
    <row r="172" spans="2:18">
      <c r="B172" s="87"/>
      <c r="C172" s="53"/>
      <c r="D172" s="82"/>
      <c r="E172" s="82"/>
      <c r="F172" s="82"/>
      <c r="G172" s="82"/>
      <c r="H172" s="29"/>
      <c r="I172" s="39"/>
      <c r="K172" s="558"/>
      <c r="M172" s="22"/>
    </row>
    <row r="173" spans="2:18">
      <c r="B173" s="751" t="str">
        <f>IF(Contents!$B$2=2,"Countering corruption","Противодействие коррупции")</f>
        <v>Противодействие коррупции</v>
      </c>
      <c r="C173" s="49"/>
      <c r="D173" s="50"/>
      <c r="E173" s="50"/>
      <c r="F173" s="50"/>
      <c r="G173" s="50"/>
      <c r="H173" s="29"/>
      <c r="I173" s="39"/>
      <c r="K173" s="558"/>
      <c r="M173" s="22"/>
    </row>
    <row r="174" spans="2:18" ht="36">
      <c r="B174" s="750" t="str">
        <f>IF(Contents!$B$2=2,"Average number of hours of anti-corruption training per employee","Среднее количество часов обучения по вопросам противодействия коррупции на одного работника")</f>
        <v>Среднее количество часов обучения по вопросам противодействия коррупции на одного работника</v>
      </c>
      <c r="C174" s="53" t="str">
        <f>IF(Contents!$B$2=2,"unit","ед.")</f>
        <v>ед.</v>
      </c>
      <c r="D174" s="81" t="s">
        <v>185</v>
      </c>
      <c r="E174" s="82">
        <v>0.45</v>
      </c>
      <c r="F174" s="82">
        <v>0.47</v>
      </c>
      <c r="G174" s="900">
        <v>0.49</v>
      </c>
      <c r="H174" s="29"/>
      <c r="I174" s="56" t="str">
        <f>IF(Contents!$B$2=2,"PBCS 52","СОКБ 52")</f>
        <v>СОКБ 52</v>
      </c>
      <c r="K174" s="558">
        <v>1</v>
      </c>
      <c r="M174" s="22"/>
    </row>
    <row r="175" spans="2:18">
      <c r="B175" s="52"/>
      <c r="C175" s="53"/>
      <c r="D175" s="82"/>
      <c r="E175" s="82"/>
      <c r="F175" s="82"/>
      <c r="G175" s="82"/>
      <c r="H175" s="29"/>
      <c r="I175" s="39"/>
      <c r="K175" s="558"/>
      <c r="M175" s="22"/>
    </row>
    <row r="176" spans="2:18">
      <c r="B176" s="751" t="str">
        <f>IF(Contents!$B$2=2,"Compliance with legal requirements","Соблюдение требований законодательства")</f>
        <v>Соблюдение требований законодательства</v>
      </c>
      <c r="C176" s="49"/>
      <c r="D176" s="50"/>
      <c r="E176" s="50"/>
      <c r="F176" s="50"/>
      <c r="G176" s="50"/>
      <c r="H176" s="29"/>
      <c r="I176" s="39"/>
      <c r="K176" s="558"/>
      <c r="M176" s="22"/>
    </row>
    <row r="177" spans="2:18" ht="36">
      <c r="B177" s="52" t="str">
        <f>IF(Contents!$B$2=2,Q177,P177)</f>
        <v>Сумма заявленных требований по судебным спорам с участием эмитента в качестве ответчика</v>
      </c>
      <c r="C177" s="53" t="str">
        <f>IF(Contents!$B$2=2,"RR th.","тыс. руб.")</f>
        <v>тыс. руб.</v>
      </c>
      <c r="D177" s="800" t="s">
        <v>185</v>
      </c>
      <c r="E177" s="800" t="s">
        <v>185</v>
      </c>
      <c r="F177" s="800" t="s">
        <v>185</v>
      </c>
      <c r="G177" s="905">
        <v>0</v>
      </c>
      <c r="H177" s="29"/>
      <c r="I177" s="56" t="str">
        <f>IF(Contents!$B$2=2,"PBCS 58","СОКБ 58")</f>
        <v>СОКБ 58</v>
      </c>
      <c r="K177" s="558">
        <v>1</v>
      </c>
      <c r="M177" s="22"/>
      <c r="P177" s="117" t="s">
        <v>206</v>
      </c>
      <c r="Q177" s="117" t="s">
        <v>207</v>
      </c>
      <c r="R177" s="117"/>
    </row>
    <row r="178" spans="2:18" ht="36">
      <c r="B178" s="87" t="str">
        <f>IF(Contents!$B$2=2,Q178,P178)</f>
        <v>по делам о предъявлении требований к действующему или бывшему членам органов управления эмитента</v>
      </c>
      <c r="C178" s="53" t="str">
        <f>IF(Contents!$B$2=2,"RR th.","тыс. руб.")</f>
        <v>тыс. руб.</v>
      </c>
      <c r="D178" s="800" t="s">
        <v>185</v>
      </c>
      <c r="E178" s="800" t="s">
        <v>185</v>
      </c>
      <c r="F178" s="800" t="s">
        <v>185</v>
      </c>
      <c r="G178" s="905">
        <v>0</v>
      </c>
      <c r="H178" s="29"/>
      <c r="I178" s="56" t="str">
        <f>IF(Contents!$B$2=2,"PBCS 58","СОКБ 58")</f>
        <v>СОКБ 58</v>
      </c>
      <c r="K178" s="558"/>
      <c r="M178" s="22"/>
      <c r="P178" s="801" t="s">
        <v>203</v>
      </c>
      <c r="Q178" s="117" t="s">
        <v>208</v>
      </c>
      <c r="R178" s="117"/>
    </row>
    <row r="179" spans="2:18" ht="36">
      <c r="B179" s="87" t="str">
        <f>IF(Contents!$B$2=2,Q179,P179)</f>
        <v>по делам об оспаривании сделок по статьям 173 и 174 Гражданского кодекса Российской Федерации</v>
      </c>
      <c r="C179" s="53" t="str">
        <f>IF(Contents!$B$2=2,"RR th.","тыс. руб.")</f>
        <v>тыс. руб.</v>
      </c>
      <c r="D179" s="800" t="s">
        <v>185</v>
      </c>
      <c r="E179" s="800" t="s">
        <v>185</v>
      </c>
      <c r="F179" s="800" t="s">
        <v>185</v>
      </c>
      <c r="G179" s="905">
        <v>0</v>
      </c>
      <c r="H179" s="29"/>
      <c r="I179" s="56" t="str">
        <f>IF(Contents!$B$2=2,"PBCS 58","СОКБ 58")</f>
        <v>СОКБ 58</v>
      </c>
      <c r="K179" s="558"/>
      <c r="M179" s="22"/>
      <c r="P179" s="801" t="s">
        <v>204</v>
      </c>
      <c r="Q179" s="117" t="s">
        <v>209</v>
      </c>
      <c r="R179" s="117"/>
    </row>
    <row r="180" spans="2:18" ht="54">
      <c r="B180" s="87" t="str">
        <f>IF(Contents!$B$2=2,Q180,P180)</f>
        <v>по делам об оспаривании решений органов управления эмитента, а также споров с участием эмитента в иных судебных делах, связанных с нарушением корпоративного законодательства</v>
      </c>
      <c r="C180" s="53" t="str">
        <f>IF(Contents!$B$2=2,"RR th.","тыс. руб.")</f>
        <v>тыс. руб.</v>
      </c>
      <c r="D180" s="800" t="s">
        <v>185</v>
      </c>
      <c r="E180" s="800" t="s">
        <v>185</v>
      </c>
      <c r="F180" s="800" t="s">
        <v>185</v>
      </c>
      <c r="G180" s="905">
        <v>0</v>
      </c>
      <c r="H180" s="29"/>
      <c r="I180" s="56" t="str">
        <f>IF(Contents!$B$2=2,"PBCS 58","СОКБ 58")</f>
        <v>СОКБ 58</v>
      </c>
      <c r="K180" s="558"/>
      <c r="M180" s="22"/>
      <c r="P180" s="801" t="s">
        <v>205</v>
      </c>
      <c r="Q180" s="117" t="s">
        <v>210</v>
      </c>
      <c r="R180" s="117"/>
    </row>
    <row r="181" spans="2:18" ht="36">
      <c r="B181" s="52" t="str">
        <f>IF(Contents!$B$2=2,Q181,P181)</f>
        <v>Сумма удовлетворенных требований по судебным спорам с участием эмитента в качестве ответчика</v>
      </c>
      <c r="C181" s="53" t="str">
        <f>IF(Contents!$B$2=2,"RR th.","тыс. руб.")</f>
        <v>тыс. руб.</v>
      </c>
      <c r="D181" s="800" t="s">
        <v>185</v>
      </c>
      <c r="E181" s="800" t="s">
        <v>185</v>
      </c>
      <c r="F181" s="800" t="s">
        <v>185</v>
      </c>
      <c r="G181" s="905">
        <v>0</v>
      </c>
      <c r="H181" s="29"/>
      <c r="I181" s="56" t="str">
        <f>IF(Contents!$B$2=2,"PBCS 59","СОКБ 59")</f>
        <v>СОКБ 59</v>
      </c>
      <c r="K181" s="558">
        <v>1</v>
      </c>
      <c r="M181" s="22"/>
      <c r="P181" s="117" t="s">
        <v>201</v>
      </c>
      <c r="Q181" s="117" t="s">
        <v>211</v>
      </c>
      <c r="R181" s="117"/>
    </row>
    <row r="182" spans="2:18" ht="36">
      <c r="B182" s="87" t="str">
        <f>IF(Contents!$B$2=2,Q182,P182)</f>
        <v>по делам о предъявлении требований к действующему или бывшему членам органов управления эмитента</v>
      </c>
      <c r="C182" s="53" t="str">
        <f>IF(Contents!$B$2=2,"RR th.","тыс. руб.")</f>
        <v>тыс. руб.</v>
      </c>
      <c r="D182" s="800" t="s">
        <v>185</v>
      </c>
      <c r="E182" s="800" t="s">
        <v>185</v>
      </c>
      <c r="F182" s="800" t="s">
        <v>185</v>
      </c>
      <c r="G182" s="905">
        <v>0</v>
      </c>
      <c r="H182" s="29"/>
      <c r="I182" s="56" t="str">
        <f>IF(Contents!$B$2=2,"PBCS 59","СОКБ 59")</f>
        <v>СОКБ 59</v>
      </c>
      <c r="K182" s="558"/>
      <c r="M182" s="22"/>
      <c r="P182" s="801" t="s">
        <v>203</v>
      </c>
      <c r="Q182" s="117" t="s">
        <v>208</v>
      </c>
      <c r="R182" s="117"/>
    </row>
    <row r="183" spans="2:18" ht="36">
      <c r="B183" s="87" t="str">
        <f>IF(Contents!$B$2=2,Q183,P183)</f>
        <v>по делам об оспаривании сделок по статьям 173 и 174 Гражданского кодекса Российской Федерации</v>
      </c>
      <c r="C183" s="53" t="str">
        <f>IF(Contents!$B$2=2,"RR th.","тыс. руб.")</f>
        <v>тыс. руб.</v>
      </c>
      <c r="D183" s="800" t="s">
        <v>185</v>
      </c>
      <c r="E183" s="800" t="s">
        <v>185</v>
      </c>
      <c r="F183" s="800" t="s">
        <v>185</v>
      </c>
      <c r="G183" s="905">
        <v>0</v>
      </c>
      <c r="H183" s="29"/>
      <c r="I183" s="56" t="str">
        <f>IF(Contents!$B$2=2,"PBCS 59","СОКБ 59")</f>
        <v>СОКБ 59</v>
      </c>
      <c r="K183" s="558"/>
      <c r="M183" s="22"/>
      <c r="P183" s="801" t="s">
        <v>204</v>
      </c>
      <c r="Q183" s="117" t="s">
        <v>209</v>
      </c>
      <c r="R183" s="117"/>
    </row>
    <row r="184" spans="2:18" ht="54">
      <c r="B184" s="87" t="str">
        <f>IF(Contents!$B$2=2,Q184,P184)</f>
        <v>по делам об оспаривании решений органов управления эмитента, а также споров с участием эмитента в иных судебных делах, связанных с нарушением корпоративного законодательства</v>
      </c>
      <c r="C184" s="53" t="str">
        <f>IF(Contents!$B$2=2,"RR th.","тыс. руб.")</f>
        <v>тыс. руб.</v>
      </c>
      <c r="D184" s="800" t="s">
        <v>185</v>
      </c>
      <c r="E184" s="800" t="s">
        <v>185</v>
      </c>
      <c r="F184" s="800" t="s">
        <v>185</v>
      </c>
      <c r="G184" s="905">
        <v>0</v>
      </c>
      <c r="H184" s="29"/>
      <c r="I184" s="56" t="str">
        <f>IF(Contents!$B$2=2,"PBCS 59","СОКБ 59")</f>
        <v>СОКБ 59</v>
      </c>
      <c r="K184" s="558"/>
      <c r="M184" s="22"/>
      <c r="P184" s="801" t="s">
        <v>205</v>
      </c>
      <c r="Q184" s="117" t="s">
        <v>210</v>
      </c>
      <c r="R184" s="117"/>
    </row>
    <row r="185" spans="2:18" ht="72">
      <c r="B185" s="52" t="str">
        <f>IF(Contents!$B$2=2,Q185,P185)</f>
        <v>Сумма штрафов, наложенных на организацию и должностных лиц в связи с нарушением требований законодательства Российской Федерации об акционерных обществах и ценных бумагах, в сфере корпоративных отношений в акционерных обществах</v>
      </c>
      <c r="C185" s="53" t="str">
        <f>IF(Contents!$B$2=2,"RR th.","тыс. руб.")</f>
        <v>тыс. руб.</v>
      </c>
      <c r="D185" s="800" t="s">
        <v>185</v>
      </c>
      <c r="E185" s="800" t="s">
        <v>185</v>
      </c>
      <c r="F185" s="800" t="s">
        <v>185</v>
      </c>
      <c r="G185" s="905" t="s">
        <v>185</v>
      </c>
      <c r="H185" s="29"/>
      <c r="I185" s="56" t="str">
        <f>IF(Contents!$B$2=2,"PBCS 60","СОКБ 60")</f>
        <v>СОКБ 60</v>
      </c>
      <c r="K185" s="558">
        <v>1</v>
      </c>
      <c r="M185" s="22"/>
      <c r="P185" s="117" t="s">
        <v>202</v>
      </c>
      <c r="Q185" s="117" t="s">
        <v>212</v>
      </c>
      <c r="R185" s="117"/>
    </row>
    <row r="186" spans="2:18" ht="36">
      <c r="B186" s="750" t="str">
        <f>IF(Contents!$B$2=2,"Cases of being held liable under the laws of the Russian Federation for violation of consumer rights","Количество случаев привлечения к ответственности в соответствии с законодательством Российской Федерации за нарушение прав потребителей")</f>
        <v>Количество случаев привлечения к ответственности в соответствии с законодательством Российской Федерации за нарушение прав потребителей</v>
      </c>
      <c r="C186" s="53" t="str">
        <f>IF(Contents!$B$2=2,"unit","ед.")</f>
        <v>ед.</v>
      </c>
      <c r="D186" s="800" t="s">
        <v>185</v>
      </c>
      <c r="E186" s="800" t="s">
        <v>185</v>
      </c>
      <c r="F186" s="800">
        <v>0</v>
      </c>
      <c r="G186" s="905">
        <v>0</v>
      </c>
      <c r="H186" s="29"/>
      <c r="I186" s="56" t="str">
        <f>IF(Contents!$B$2=2,"PBCS 54","СОКБ 54")</f>
        <v>СОКБ 54</v>
      </c>
      <c r="K186" s="558">
        <v>1</v>
      </c>
      <c r="M186" s="22"/>
    </row>
    <row r="187" spans="2:18">
      <c r="B187" s="52"/>
      <c r="C187" s="53"/>
      <c r="D187" s="82"/>
      <c r="E187" s="82"/>
      <c r="F187" s="82"/>
      <c r="G187" s="82"/>
      <c r="H187" s="29"/>
      <c r="I187" s="39"/>
      <c r="K187" s="558"/>
      <c r="M187" s="22"/>
    </row>
    <row r="188" spans="2:18">
      <c r="B188" s="751" t="str">
        <f>IF(Contents!$B$2=2,"Respect for the rights of local communities and indigenous peoples","Соблюдение прав местных сообществ и коренных народов")</f>
        <v>Соблюдение прав местных сообществ и коренных народов</v>
      </c>
      <c r="C188" s="49"/>
      <c r="D188" s="50"/>
      <c r="E188" s="50"/>
      <c r="F188" s="50"/>
      <c r="G188" s="50"/>
      <c r="H188" s="29"/>
      <c r="I188" s="39"/>
      <c r="K188" s="558"/>
      <c r="M188" s="22"/>
    </row>
    <row r="189" spans="2:18" ht="36">
      <c r="B189" s="750" t="str">
        <f>IF(Contents!$B$2=2,"Number of cases of violation of the rights of small indigenous peoples of the Russian Federation recorded","Количество зафиксированных случаев нарушения прав коренных малочисленных народов РФ")</f>
        <v>Количество зафиксированных случаев нарушения прав коренных малочисленных народов РФ</v>
      </c>
      <c r="C189" s="53" t="str">
        <f>IF(Contents!$B$2=2,"unit","ед.")</f>
        <v>ед.</v>
      </c>
      <c r="D189" s="82">
        <v>0</v>
      </c>
      <c r="E189" s="82">
        <v>0</v>
      </c>
      <c r="F189" s="82">
        <v>0</v>
      </c>
      <c r="G189" s="900">
        <v>0</v>
      </c>
      <c r="H189" s="29"/>
      <c r="I189" s="56" t="str">
        <f>IF(Contents!$B$2=2,"PBCS 50","СОКБ 50")</f>
        <v>СОКБ 50</v>
      </c>
      <c r="K189" s="558">
        <v>2</v>
      </c>
      <c r="M189" s="22"/>
    </row>
    <row r="190" spans="2:18" ht="54">
      <c r="B190" s="750" t="str">
        <f>IF(Contents!$B$2=2,"Number of recorded socially significant incidents (strikes and cases of violation of local community rights by the organization that triggered public actions)","Количество зафиксированных социально-значимых инцидентов (забастовки и случаи нарушения со стороны организации прав местных сообществ, приведшие к публичным мероприятиям)")</f>
        <v>Количество зафиксированных социально-значимых инцидентов (забастовки и случаи нарушения со стороны организации прав местных сообществ, приведшие к публичным мероприятиям)</v>
      </c>
      <c r="C190" s="53" t="str">
        <f>IF(Contents!$B$2=2,"unit","ед.")</f>
        <v>ед.</v>
      </c>
      <c r="D190" s="82">
        <v>0</v>
      </c>
      <c r="E190" s="82">
        <v>0</v>
      </c>
      <c r="F190" s="82">
        <v>0</v>
      </c>
      <c r="G190" s="900">
        <v>0</v>
      </c>
      <c r="H190" s="29"/>
      <c r="I190" s="56" t="str">
        <f>IF(Contents!$B$2=2,"PBCS 55","СОКБ 55")</f>
        <v>СОКБ 55</v>
      </c>
      <c r="K190" s="558">
        <v>2</v>
      </c>
      <c r="M190" s="22"/>
    </row>
    <row r="191" spans="2:18">
      <c r="B191" s="87"/>
      <c r="C191" s="53"/>
      <c r="D191" s="82"/>
      <c r="E191" s="82"/>
      <c r="F191" s="82"/>
      <c r="G191" s="82"/>
      <c r="H191" s="29"/>
      <c r="I191" s="39"/>
      <c r="K191" s="558"/>
      <c r="M191" s="22"/>
    </row>
    <row r="192" spans="2:18">
      <c r="B192" s="45" t="str">
        <f>IF(Contents!$B$2=2,"Economic indicators","Экономические показатели")</f>
        <v>Экономические показатели</v>
      </c>
      <c r="C192" s="45"/>
      <c r="D192" s="719"/>
      <c r="E192" s="719"/>
      <c r="F192" s="719"/>
      <c r="G192" s="719"/>
      <c r="H192" s="29"/>
      <c r="I192" s="39"/>
      <c r="K192" s="558"/>
      <c r="M192" s="22"/>
    </row>
    <row r="193" spans="2:26">
      <c r="B193" s="48" t="str">
        <f>IF(Contents!$B$2=2,"Economic efficiency and sustainability","Экономическая эффективность и устойчивость")</f>
        <v>Экономическая эффективность и устойчивость</v>
      </c>
      <c r="C193" s="49"/>
      <c r="D193" s="749"/>
      <c r="E193" s="749"/>
      <c r="F193" s="749"/>
      <c r="G193" s="749"/>
      <c r="H193" s="29"/>
      <c r="I193" s="39"/>
      <c r="K193" s="558"/>
      <c r="M193" s="22"/>
    </row>
    <row r="194" spans="2:26">
      <c r="B194" s="52" t="str">
        <f>IF(Contents!$B$2=2,"Revenue","Выручка")</f>
        <v>Выручка</v>
      </c>
      <c r="C194" s="53" t="str">
        <f>IF(Contents!$B$2=2,"RR th.","тыс. руб.")</f>
        <v>тыс. руб.</v>
      </c>
      <c r="D194" s="102" t="s">
        <v>185</v>
      </c>
      <c r="E194" s="102">
        <v>1371508000</v>
      </c>
      <c r="F194" s="102">
        <v>1545851000</v>
      </c>
      <c r="G194" s="907">
        <v>1445593000</v>
      </c>
      <c r="H194" s="29"/>
      <c r="I194" s="56" t="str">
        <f>IF(Contents!$B$2=2,"PBCS 61","СОКБ 61")</f>
        <v>СОКБ 61</v>
      </c>
      <c r="K194" s="558">
        <v>3</v>
      </c>
      <c r="M194" s="22"/>
    </row>
    <row r="195" spans="2:26">
      <c r="B195" s="52" t="str">
        <f>IF(Contents!$B$2=2,"Volume of sustainable, including green, investments","Объем устойчивых, в том числе «зеленых», инвестиций ")</f>
        <v xml:space="preserve">Объем устойчивых, в том числе «зеленых», инвестиций </v>
      </c>
      <c r="C195" s="53" t="str">
        <f>IF(Contents!$B$2=2,"RR th.","тыс. руб.")</f>
        <v>тыс. руб.</v>
      </c>
      <c r="D195" s="102">
        <v>3903.904</v>
      </c>
      <c r="E195" s="102">
        <v>9727.1364300000005</v>
      </c>
      <c r="F195" s="102">
        <v>33079</v>
      </c>
      <c r="G195" s="907">
        <v>4421</v>
      </c>
      <c r="H195" s="823"/>
      <c r="I195" s="56" t="str">
        <f>IF(Contents!$B$2=2,"PBCS 67","СОКБ 67")</f>
        <v>СОКБ 67</v>
      </c>
      <c r="K195" s="558">
        <v>2</v>
      </c>
      <c r="M195" s="22"/>
    </row>
    <row r="196" spans="2:26" ht="36">
      <c r="B196" s="52" t="str">
        <f>IF(Contents!$B$2=2,"Percentage of sustainable, including green, investments of the total volume of investments","Доля устойчивых, в том числе «зеленых», инвестиций в общем объеме инвестиций")</f>
        <v>Доля устойчивых, в том числе «зеленых», инвестиций в общем объеме инвестиций</v>
      </c>
      <c r="C196" s="53" t="s">
        <v>0</v>
      </c>
      <c r="D196" s="866">
        <v>0.03</v>
      </c>
      <c r="E196" s="865">
        <v>7.0000000000000007E-2</v>
      </c>
      <c r="F196" s="865">
        <v>0.09</v>
      </c>
      <c r="G196" s="908">
        <v>0.03</v>
      </c>
      <c r="H196" s="29"/>
      <c r="I196" s="56" t="str">
        <f>IF(Contents!$B$2=2,"PBCS 67","СОКБ 67")</f>
        <v>СОКБ 67</v>
      </c>
      <c r="K196" s="558">
        <v>2</v>
      </c>
      <c r="M196" s="22"/>
    </row>
    <row r="197" spans="2:26" ht="36">
      <c r="B197" s="52" t="str">
        <f>IF(Contents!$B$2=2,Q197,P197)</f>
        <v>Объем инвестиций в проекты, связанные с достижением технологического суверенитета и структурной адаптацией экономики Российской Федерации</v>
      </c>
      <c r="C197" s="53" t="str">
        <f>IF(Contents!$B$2=2,"RR th.","тыс. руб.")</f>
        <v>тыс. руб.</v>
      </c>
      <c r="D197" s="102" t="s">
        <v>185</v>
      </c>
      <c r="E197" s="102">
        <v>14118</v>
      </c>
      <c r="F197" s="102">
        <v>3838</v>
      </c>
      <c r="G197" s="907">
        <v>2799</v>
      </c>
      <c r="H197" s="29"/>
      <c r="I197" s="56" t="str">
        <f>IF(Contents!$B$2=2,"PBCS 68","СОКБ 68")</f>
        <v>СОКБ 68</v>
      </c>
      <c r="K197" s="558">
        <v>2</v>
      </c>
      <c r="M197" s="22"/>
      <c r="P197" s="117" t="s">
        <v>214</v>
      </c>
      <c r="Q197" s="117" t="s">
        <v>216</v>
      </c>
      <c r="R197" s="117"/>
    </row>
    <row r="198" spans="2:26" ht="54">
      <c r="B198" s="52" t="str">
        <f>IF(Contents!$B$2=2,Q198,P198)</f>
        <v>Доля инвестиций в проекты, связанные с достижением технологического суверенитета и структурной адаптацией экономики РФ, в общем объеме инвестиций</v>
      </c>
      <c r="C198" s="53" t="s">
        <v>0</v>
      </c>
      <c r="D198" s="102" t="s">
        <v>185</v>
      </c>
      <c r="E198" s="807">
        <v>83.5</v>
      </c>
      <c r="F198" s="807">
        <v>33.700000000000003</v>
      </c>
      <c r="G198" s="909">
        <v>26.4</v>
      </c>
      <c r="H198" s="29"/>
      <c r="I198" s="56" t="str">
        <f>IF(Contents!$B$2=2,"PBCS 68","СОКБ 68")</f>
        <v>СОКБ 68</v>
      </c>
      <c r="K198" s="558">
        <v>2</v>
      </c>
      <c r="M198" s="22"/>
      <c r="P198" s="117" t="s">
        <v>215</v>
      </c>
      <c r="Q198" s="117" t="s">
        <v>217</v>
      </c>
      <c r="R198" s="117"/>
    </row>
    <row r="199" spans="2:26" ht="54">
      <c r="B199" s="52" t="str">
        <f>IF(Contents!$B$2=2,Q199,P199)</f>
        <v>Отношение инвестиций организации в проекты, связанные с достижением технологического суверенитета и структурной адаптацией экономики Российской Федерации, к выручке</v>
      </c>
      <c r="C199" s="53" t="s">
        <v>0</v>
      </c>
      <c r="D199" s="102" t="s">
        <v>185</v>
      </c>
      <c r="E199" s="941">
        <v>1.029E-3</v>
      </c>
      <c r="F199" s="808">
        <v>2.4800000000000001E-4</v>
      </c>
      <c r="G199" s="910">
        <v>1.94E-4</v>
      </c>
      <c r="H199" s="29"/>
      <c r="I199" s="56" t="str">
        <f>IF(Contents!$B$2=2,"PBCS 90","СОКБ 90")</f>
        <v>СОКБ 90</v>
      </c>
      <c r="K199" s="558">
        <v>2</v>
      </c>
      <c r="M199" s="22"/>
      <c r="P199" s="117" t="s">
        <v>218</v>
      </c>
      <c r="Q199" s="117" t="s">
        <v>219</v>
      </c>
      <c r="R199" s="117"/>
    </row>
    <row r="200" spans="2:26">
      <c r="B200" s="25" t="str">
        <f>IF(Contents!$B$2=2,"Notes:","Примечания:")</f>
        <v>Примечания:</v>
      </c>
      <c r="C200" s="53"/>
      <c r="D200" s="82"/>
      <c r="E200" s="82"/>
      <c r="F200" s="82"/>
      <c r="G200" s="82"/>
      <c r="H200" s="29"/>
      <c r="I200" s="39"/>
      <c r="K200" s="558"/>
      <c r="M200" s="22"/>
    </row>
    <row r="201" spans="2:26">
      <c r="B201" s="26" t="str">
        <f>IF(Contents!$B$2=2,"The calculation of sustainable, including green, investments takes into account capital expenditures on renewable energy, carbon capture and storage, as well as on forest-climatic projects.","В расчете устойчивых инвестиций учтены капитальные затраты на ВИЭ, улавливание и хранение углерода, а также на лесоклиматические проекты.")</f>
        <v>В расчете устойчивых инвестиций учтены капитальные затраты на ВИЭ, улавливание и хранение углерода, а также на лесоклиматические проекты.</v>
      </c>
      <c r="C201" s="53"/>
      <c r="D201" s="82"/>
      <c r="E201" s="82"/>
      <c r="F201" s="82"/>
      <c r="G201" s="82"/>
      <c r="H201" s="29"/>
      <c r="I201" s="39"/>
      <c r="K201" s="558"/>
      <c r="M201" s="22"/>
    </row>
    <row r="202" spans="2:26" s="43" customFormat="1">
      <c r="B202" s="26" t="str">
        <f>IF(Contents!$B$2=2, Y202, Z202)</f>
        <v>В Отчете за 2025 год произведен пересчет показателя устойчивых, в том числе "зеленых" инвестиций за 2023 и 2024 годы пропорционально доле владения Группы в совместных предприятиях. Подробнее см. в Приложении 4, показатель GRI 2-4.</v>
      </c>
      <c r="C202" s="252"/>
      <c r="D202" s="579"/>
      <c r="E202" s="579"/>
      <c r="F202" s="579"/>
      <c r="G202" s="579"/>
      <c r="H202" s="579"/>
      <c r="I202" s="802"/>
      <c r="J202" s="579"/>
      <c r="K202" s="579"/>
      <c r="L202" s="579"/>
      <c r="M202" s="579"/>
      <c r="N202" s="579"/>
      <c r="P202" s="804"/>
      <c r="Q202" s="805"/>
      <c r="R202" s="805"/>
      <c r="S202" s="805"/>
      <c r="T202" s="805"/>
      <c r="U202" s="805"/>
      <c r="V202" s="805"/>
      <c r="W202" s="805"/>
      <c r="X202" s="606"/>
      <c r="Y202" s="226" t="s">
        <v>246</v>
      </c>
      <c r="Z202" s="226" t="s">
        <v>245</v>
      </c>
    </row>
    <row r="203" spans="2:26" s="43" customFormat="1">
      <c r="B203" s="26"/>
      <c r="C203" s="252"/>
      <c r="D203" s="579"/>
      <c r="E203" s="579"/>
      <c r="F203" s="579"/>
      <c r="G203" s="579"/>
      <c r="H203" s="579"/>
      <c r="I203" s="802"/>
      <c r="J203" s="579"/>
      <c r="K203" s="579"/>
      <c r="L203" s="579"/>
      <c r="M203" s="579"/>
      <c r="N203" s="579"/>
      <c r="O203" s="803" t="s">
        <v>213</v>
      </c>
      <c r="P203" s="804"/>
      <c r="Q203" s="805"/>
      <c r="R203" s="805"/>
      <c r="S203" s="805"/>
      <c r="T203" s="805"/>
      <c r="U203" s="805"/>
      <c r="V203" s="805"/>
      <c r="W203" s="805"/>
      <c r="X203" s="606"/>
      <c r="Y203" s="226"/>
      <c r="Z203" s="226"/>
    </row>
    <row r="204" spans="2:26">
      <c r="B204" s="48" t="str">
        <f>IF(Contents!$B$2=2,"Tax policy","Налоговая политика")</f>
        <v>Налоговая политика</v>
      </c>
      <c r="C204" s="49"/>
      <c r="D204" s="50"/>
      <c r="E204" s="50"/>
      <c r="F204" s="50"/>
      <c r="G204" s="50"/>
      <c r="H204" s="29"/>
      <c r="I204" s="39"/>
      <c r="K204" s="558"/>
      <c r="M204" s="22"/>
    </row>
    <row r="205" spans="2:26">
      <c r="B205" s="52" t="str">
        <f>IF(Contents!$B$2=2,"Amount of mandatory payments accrued (excluding fines, penalties)","Сумма начисленных обязательных платежей (за исключением штрафов, пени)")</f>
        <v>Сумма начисленных обязательных платежей (за исключением штрафов, пени)</v>
      </c>
      <c r="C205" s="53" t="str">
        <f>IF(Contents!$B$2=2,"RR th.","тыс. руб.")</f>
        <v>тыс. руб.</v>
      </c>
      <c r="D205" s="46" t="s">
        <v>185</v>
      </c>
      <c r="E205" s="46" t="s">
        <v>185</v>
      </c>
      <c r="F205" s="46" t="s">
        <v>185</v>
      </c>
      <c r="G205" s="104">
        <v>194500000</v>
      </c>
      <c r="H205" s="29"/>
      <c r="I205" s="56" t="str">
        <f>IF(Contents!$B$2=2,"PBCS 63","СОКБ 63")</f>
        <v>СОКБ 63</v>
      </c>
      <c r="K205" s="558">
        <v>3</v>
      </c>
      <c r="M205" s="22"/>
    </row>
    <row r="206" spans="2:26">
      <c r="B206" s="87" t="str">
        <f>IF(Contents!$B$2=2,"Taxes and levies","Налоги и сборы")</f>
        <v>Налоги и сборы</v>
      </c>
      <c r="C206" s="53" t="str">
        <f>IF(Contents!$B$2=2,"RR th.","тыс. руб.")</f>
        <v>тыс. руб.</v>
      </c>
      <c r="D206" s="46" t="s">
        <v>185</v>
      </c>
      <c r="E206" s="46" t="s">
        <v>185</v>
      </c>
      <c r="F206" s="46" t="s">
        <v>185</v>
      </c>
      <c r="G206" s="104">
        <v>194500000</v>
      </c>
      <c r="H206" s="29"/>
      <c r="I206" s="56" t="str">
        <f>IF(Contents!$B$2=2,"PBCS 63","СОКБ 63")</f>
        <v>СОКБ 63</v>
      </c>
      <c r="K206" s="558"/>
      <c r="M206" s="22"/>
    </row>
    <row r="207" spans="2:26">
      <c r="B207" s="87" t="str">
        <f>IF(Contents!$B$2=2,"Insurance premiums","Страховые взносы")</f>
        <v>Страховые взносы</v>
      </c>
      <c r="C207" s="53" t="str">
        <f>IF(Contents!$B$2=2,"RR th.","тыс. руб.")</f>
        <v>тыс. руб.</v>
      </c>
      <c r="D207" s="46" t="s">
        <v>185</v>
      </c>
      <c r="E207" s="46" t="s">
        <v>185</v>
      </c>
      <c r="F207" s="46" t="s">
        <v>185</v>
      </c>
      <c r="G207" s="104" t="s">
        <v>185</v>
      </c>
      <c r="H207" s="29"/>
      <c r="I207" s="56" t="str">
        <f>IF(Contents!$B$2=2,"PBCS 63","СОКБ 63")</f>
        <v>СОКБ 63</v>
      </c>
      <c r="K207" s="558"/>
      <c r="M207" s="22"/>
    </row>
    <row r="208" spans="2:26">
      <c r="B208" s="87" t="str">
        <f>IF(Contents!$B$2=2,"Other mandatory payments","Иные обязательные платежи")</f>
        <v>Иные обязательные платежи</v>
      </c>
      <c r="C208" s="53" t="str">
        <f>IF(Contents!$B$2=2,"RR th.","тыс. руб.")</f>
        <v>тыс. руб.</v>
      </c>
      <c r="D208" s="46" t="s">
        <v>185</v>
      </c>
      <c r="E208" s="46" t="s">
        <v>185</v>
      </c>
      <c r="F208" s="46" t="s">
        <v>185</v>
      </c>
      <c r="G208" s="104" t="s">
        <v>185</v>
      </c>
      <c r="H208" s="29"/>
      <c r="I208" s="56" t="str">
        <f>IF(Contents!$B$2=2,"PBCS 63","СОКБ 63")</f>
        <v>СОКБ 63</v>
      </c>
      <c r="K208" s="558"/>
      <c r="M208" s="22"/>
    </row>
    <row r="209" spans="1:15">
      <c r="B209" s="57"/>
      <c r="C209" s="53"/>
      <c r="D209" s="306"/>
      <c r="E209" s="306"/>
      <c r="F209" s="306"/>
      <c r="G209" s="827"/>
      <c r="H209" s="29"/>
      <c r="I209" s="39"/>
      <c r="K209" s="558"/>
      <c r="M209" s="22"/>
    </row>
    <row r="210" spans="1:15">
      <c r="B210" s="52" t="str">
        <f>IF(Contents!$B$2=2,"Amount of mandatory payments paid (excluding fines, penalties)","Сумма уплаченных обязательных платежей (за исключением штрафов, пени)")</f>
        <v>Сумма уплаченных обязательных платежей (за исключением штрафов, пени)</v>
      </c>
      <c r="C210" s="53" t="str">
        <f>IF(Contents!$B$2=2,"RR th.","тыс. руб.")</f>
        <v>тыс. руб.</v>
      </c>
      <c r="D210" s="46" t="s">
        <v>185</v>
      </c>
      <c r="E210" s="46" t="s">
        <v>185</v>
      </c>
      <c r="F210" s="46" t="s">
        <v>185</v>
      </c>
      <c r="G210" s="104" t="s">
        <v>185</v>
      </c>
      <c r="H210" s="29"/>
      <c r="I210" s="56" t="str">
        <f>IF(Contents!$B$2=2,"PBCS 64","СОКБ 64")</f>
        <v>СОКБ 64</v>
      </c>
      <c r="K210" s="558"/>
      <c r="M210" s="22"/>
    </row>
    <row r="211" spans="1:15">
      <c r="B211" s="87" t="str">
        <f>IF(Contents!$B$2=2,"Taxes and levies","Налоги и сборы")</f>
        <v>Налоги и сборы</v>
      </c>
      <c r="C211" s="53" t="str">
        <f>IF(Contents!$B$2=2,"RR th.","тыс. руб.")</f>
        <v>тыс. руб.</v>
      </c>
      <c r="D211" s="46" t="s">
        <v>185</v>
      </c>
      <c r="E211" s="46" t="s">
        <v>185</v>
      </c>
      <c r="F211" s="46">
        <v>222471000</v>
      </c>
      <c r="G211" s="104" t="s">
        <v>185</v>
      </c>
      <c r="H211" s="29"/>
      <c r="I211" s="56" t="str">
        <f>IF(Contents!$B$2=2,"PBCS 64","СОКБ 64")</f>
        <v>СОКБ 64</v>
      </c>
      <c r="K211" s="558">
        <v>3</v>
      </c>
      <c r="M211" s="22"/>
    </row>
    <row r="212" spans="1:15">
      <c r="B212" s="87" t="str">
        <f>IF(Contents!$B$2=2,"Insurance premiums","Страховые взносы")</f>
        <v>Страховые взносы</v>
      </c>
      <c r="C212" s="53" t="str">
        <f>IF(Contents!$B$2=2,"RR th.","тыс. руб.")</f>
        <v>тыс. руб.</v>
      </c>
      <c r="D212" s="46" t="s">
        <v>185</v>
      </c>
      <c r="E212" s="46" t="s">
        <v>185</v>
      </c>
      <c r="F212" s="46" t="s">
        <v>185</v>
      </c>
      <c r="G212" s="104" t="s">
        <v>185</v>
      </c>
      <c r="H212" s="29"/>
      <c r="I212" s="56" t="str">
        <f>IF(Contents!$B$2=2,"PBCS 64","СОКБ 64")</f>
        <v>СОКБ 64</v>
      </c>
      <c r="K212" s="558"/>
      <c r="M212" s="22"/>
    </row>
    <row r="213" spans="1:15">
      <c r="B213" s="87" t="str">
        <f>IF(Contents!$B$2=2,"Other mandatory payments","Иные обязательные платежи")</f>
        <v>Иные обязательные платежи</v>
      </c>
      <c r="C213" s="53" t="str">
        <f>IF(Contents!$B$2=2,"RR th.","тыс. руб.")</f>
        <v>тыс. руб.</v>
      </c>
      <c r="D213" s="46" t="s">
        <v>185</v>
      </c>
      <c r="E213" s="46" t="s">
        <v>185</v>
      </c>
      <c r="F213" s="46" t="s">
        <v>185</v>
      </c>
      <c r="G213" s="104" t="s">
        <v>185</v>
      </c>
      <c r="H213" s="29"/>
      <c r="I213" s="56" t="str">
        <f>IF(Contents!$B$2=2,"PBCS 64","СОКБ 64")</f>
        <v>СОКБ 64</v>
      </c>
      <c r="K213" s="558"/>
      <c r="M213" s="22"/>
    </row>
    <row r="214" spans="1:15">
      <c r="B214" s="87"/>
      <c r="C214" s="53"/>
      <c r="D214" s="46"/>
      <c r="E214" s="46"/>
      <c r="F214" s="58"/>
      <c r="G214" s="58"/>
      <c r="H214" s="29"/>
      <c r="I214" s="56"/>
      <c r="K214" s="558"/>
      <c r="M214" s="22"/>
    </row>
    <row r="215" spans="1:15">
      <c r="B215" s="25" t="str">
        <f>IF(Contents!$B$2=2,"Notes:","Примечания:")</f>
        <v>Примечания:</v>
      </c>
      <c r="C215" s="53"/>
      <c r="D215" s="46"/>
      <c r="E215" s="46"/>
      <c r="F215" s="58"/>
      <c r="G215" s="58"/>
      <c r="H215" s="29"/>
      <c r="I215" s="56"/>
      <c r="K215" s="558"/>
      <c r="M215" s="22"/>
    </row>
    <row r="216" spans="1:15">
      <c r="B216" s="26" t="str">
        <f>IF(Contents!$B$2=2,C217, B217)</f>
        <v>Налоги и сборы включают налоги, кроме налога на прибыль, налог на добычу полезных ископаемых, налог на имущество, прочие налоги. Значение приведено на основании Раскрываемой консолидированной финансовой отчетности за 2025 год.</v>
      </c>
      <c r="D216" s="675"/>
      <c r="E216" s="675"/>
      <c r="F216" s="675"/>
      <c r="G216" s="675"/>
      <c r="H216" s="29"/>
      <c r="I216" s="39"/>
      <c r="K216" s="558"/>
      <c r="M216" s="22"/>
    </row>
    <row r="217" spans="1:15">
      <c r="B217" s="115" t="s">
        <v>238</v>
      </c>
      <c r="C217" s="115" t="s">
        <v>239</v>
      </c>
      <c r="D217" s="82"/>
      <c r="E217" s="82"/>
      <c r="F217" s="82"/>
      <c r="G217" s="82"/>
      <c r="H217" s="29"/>
      <c r="I217" s="39"/>
      <c r="K217" s="558"/>
      <c r="M217" s="22"/>
    </row>
    <row r="218" spans="1:15">
      <c r="B218" s="48" t="str">
        <f>IF(Contents!$B$2=2,"Responsible supply chain","Ответственная цепочка поставок")</f>
        <v>Ответственная цепочка поставок</v>
      </c>
      <c r="C218" s="49"/>
      <c r="D218" s="50"/>
      <c r="E218" s="50"/>
      <c r="F218" s="51"/>
      <c r="G218" s="51"/>
      <c r="H218" s="29"/>
      <c r="I218" s="39"/>
      <c r="K218" s="558"/>
      <c r="M218" s="22"/>
    </row>
    <row r="219" spans="1:15" ht="36">
      <c r="B219" s="218" t="str">
        <f>IF(Contents!$B$2=2,"Percentage of goods, works, and services purchased from Russian organizations of the total volume of goods, works, and services purchased","Доля закупок российских товаров, работ, услуг в общем объеме закупок, товаров, работ, услуг")</f>
        <v>Доля закупок российских товаров, работ, услуг в общем объеме закупок, товаров, работ, услуг</v>
      </c>
      <c r="C219" s="103" t="s">
        <v>0</v>
      </c>
      <c r="D219" s="222">
        <v>71</v>
      </c>
      <c r="E219" s="222">
        <v>82</v>
      </c>
      <c r="F219" s="222">
        <v>83</v>
      </c>
      <c r="G219" s="911">
        <v>91</v>
      </c>
      <c r="H219" s="29"/>
      <c r="I219" s="56" t="str">
        <f>IF(Contents!$B$2=2,"PBCS 65","СОКБ 65")</f>
        <v>СОКБ 65</v>
      </c>
      <c r="K219" s="558">
        <v>2</v>
      </c>
      <c r="M219" s="22"/>
    </row>
    <row r="220" spans="1:15">
      <c r="D220" s="46"/>
      <c r="E220" s="46"/>
      <c r="F220" s="46"/>
      <c r="G220" s="46"/>
    </row>
    <row r="221" spans="1:15">
      <c r="A221" s="17"/>
      <c r="B221" s="45" t="str">
        <f>IF(Contents!$B$2=2,"Indicators demonstrating the organisation’s contribution to the social welfare and strategic development of the Russian Federation ","Показатели, отражающие участие организации в повышении благосостояния общества и стратегическом развитии Российской Федерации")</f>
        <v>Показатели, отражающие участие организации в повышении благосостояния общества и стратегическом развитии Российской Федерации</v>
      </c>
      <c r="C221" s="45"/>
      <c r="D221" s="45"/>
      <c r="E221" s="45"/>
      <c r="F221" s="45"/>
      <c r="G221" s="45"/>
      <c r="H221" s="40"/>
      <c r="I221" s="39"/>
      <c r="K221" s="558"/>
      <c r="M221" s="589"/>
      <c r="N221" s="589"/>
    </row>
    <row r="222" spans="1:15">
      <c r="A222" s="17"/>
      <c r="B222" s="398" t="str">
        <f>IF(Contents!$B$2=2,"Preservation of the population, strengthening health and improving the wellbeing of people, supporting families","Сохранение населения, укрепление здоровья и повышение благополучия людей, поддержка семьи")</f>
        <v>Сохранение населения, укрепление здоровья и повышение благополучия людей, поддержка семьи</v>
      </c>
      <c r="C222" s="49"/>
      <c r="D222" s="50"/>
      <c r="E222" s="50"/>
      <c r="F222" s="51"/>
      <c r="G222" s="51"/>
      <c r="H222" s="29"/>
      <c r="I222" s="39"/>
      <c r="K222" s="766"/>
      <c r="M222" s="595"/>
      <c r="N222" s="595"/>
      <c r="O222" s="22"/>
    </row>
    <row r="223" spans="1:15">
      <c r="A223" s="17"/>
      <c r="B223" s="52" t="str">
        <f>IF(Contents!$B$2=2,"Expenses on family and parenting support","Расходы на программы поддержки семьи и родительства")</f>
        <v>Расходы на программы поддержки семьи и родительства</v>
      </c>
      <c r="C223" s="53" t="str">
        <f>IF(Contents!$B$2=2,"RR th.","тыс. руб.")</f>
        <v>тыс. руб.</v>
      </c>
      <c r="D223" s="107">
        <v>1535400</v>
      </c>
      <c r="E223" s="107">
        <v>2623300</v>
      </c>
      <c r="F223" s="107">
        <v>3002000</v>
      </c>
      <c r="G223" s="793">
        <v>2911000</v>
      </c>
      <c r="H223" s="38"/>
      <c r="I223" s="56" t="str">
        <f>IF(Contents!$B$2=2,"PBCS 74","СОКБ 74")</f>
        <v>СОКБ 74</v>
      </c>
      <c r="K223" s="56">
        <v>2</v>
      </c>
      <c r="M223" s="595"/>
      <c r="N223" s="595"/>
      <c r="O223" s="22"/>
    </row>
    <row r="224" spans="1:15">
      <c r="A224" s="17"/>
      <c r="B224" s="52" t="str">
        <f>IF(Contents!$B$2=2,"Ratio of Expenses on family and parenting support programs to revenue","Отношение расходов на программы поддержки семьи и родительства к выручке")</f>
        <v>Отношение расходов на программы поддержки семьи и родительства к выручке</v>
      </c>
      <c r="C224" s="53" t="s">
        <v>7</v>
      </c>
      <c r="D224" s="809" t="s">
        <v>185</v>
      </c>
      <c r="E224" s="810">
        <v>0.19</v>
      </c>
      <c r="F224" s="810">
        <v>0.19</v>
      </c>
      <c r="G224" s="912">
        <v>0.2</v>
      </c>
      <c r="H224" s="38"/>
      <c r="I224" s="56" t="str">
        <f>IF(Contents!$B$2=2,"PBCS 74","СОКБ 74")</f>
        <v>СОКБ 74</v>
      </c>
      <c r="K224" s="56">
        <v>2</v>
      </c>
      <c r="M224" s="595"/>
      <c r="N224" s="595"/>
      <c r="O224" s="22"/>
    </row>
    <row r="225" spans="2:15">
      <c r="C225" s="53"/>
      <c r="D225" s="91"/>
      <c r="E225" s="91"/>
      <c r="F225" s="91"/>
      <c r="G225" s="91"/>
      <c r="H225" s="38"/>
      <c r="I225" s="39"/>
      <c r="K225" s="558"/>
      <c r="M225" s="595"/>
      <c r="N225" s="595"/>
      <c r="O225" s="22"/>
    </row>
    <row r="226" spans="2:15">
      <c r="B226" s="25" t="str">
        <f>IF(Contents!$B$2=2,"Notes:","Примечания:")</f>
        <v>Примечания:</v>
      </c>
      <c r="C226" s="53"/>
      <c r="D226" s="91"/>
      <c r="E226" s="91"/>
      <c r="F226" s="91"/>
      <c r="G226" s="91"/>
      <c r="H226" s="38"/>
      <c r="I226" s="39"/>
      <c r="K226" s="558"/>
      <c r="M226" s="595"/>
      <c r="N226" s="595"/>
      <c r="O226" s="22"/>
    </row>
    <row r="227" spans="2:15">
      <c r="B227" s="26" t="str">
        <f>IF(Contents!$B$2=2,C228, B228)</f>
        <v>В расчеты включены расходы по программе целевых компенсаций и социально-значимых выплат, по программе санаторно-курортного оздоровления, по программе, реализуемой на возвратной основе, по реабилитации детей сотрудников с ограниченными возможностями, по поддержке многодетных семей из дочерних обществ, воспитывающих 4 и более детей.</v>
      </c>
      <c r="C227" s="53"/>
      <c r="D227" s="91"/>
      <c r="E227" s="91"/>
      <c r="F227" s="91"/>
      <c r="G227" s="91"/>
      <c r="H227" s="38"/>
      <c r="I227" s="39"/>
      <c r="K227" s="558"/>
      <c r="M227" s="595"/>
      <c r="N227" s="595"/>
      <c r="O227" s="22"/>
    </row>
    <row r="228" spans="2:15">
      <c r="B228" s="115" t="s">
        <v>14</v>
      </c>
      <c r="C228" s="115" t="s">
        <v>39</v>
      </c>
      <c r="D228" s="91"/>
      <c r="E228" s="91"/>
      <c r="F228" s="91"/>
      <c r="G228" s="91"/>
      <c r="H228" s="38"/>
      <c r="I228" s="39"/>
      <c r="K228" s="558"/>
      <c r="M228" s="595"/>
      <c r="N228" s="595"/>
      <c r="O228" s="22"/>
    </row>
    <row r="229" spans="2:15" ht="26.1" customHeight="1">
      <c r="B229" s="48" t="str">
        <f>IF(Contents!$B$2=2,"Occupational health and safety (OHS)","Охрана труда и промышленная безопасность (ОТиПБ)")</f>
        <v>Охрана труда и промышленная безопасность (ОТиПБ)</v>
      </c>
      <c r="C229" s="49"/>
      <c r="D229" s="50"/>
      <c r="E229" s="50"/>
      <c r="F229" s="51"/>
      <c r="G229" s="51"/>
      <c r="H229" s="29"/>
      <c r="I229" s="39"/>
      <c r="K229" s="766"/>
      <c r="M229" s="595"/>
      <c r="N229" s="595"/>
      <c r="O229" s="22"/>
    </row>
    <row r="230" spans="2:15" ht="36">
      <c r="B230" s="52" t="str">
        <f>IF(Contents!$B$2=2,"Ratio of Expenses on occupational health and safety measures to revenue","Отношение расходов на мероприятия по охране труда и промышленную безопасность к выручке")</f>
        <v>Отношение расходов на мероприятия по охране труда и промышленную безопасность к выручке</v>
      </c>
      <c r="C230" s="53" t="s">
        <v>7</v>
      </c>
      <c r="D230" s="811" t="s">
        <v>185</v>
      </c>
      <c r="E230" s="810">
        <v>0.37</v>
      </c>
      <c r="F230" s="810">
        <v>0.43</v>
      </c>
      <c r="G230" s="912">
        <v>0.5</v>
      </c>
      <c r="H230" s="38"/>
      <c r="I230" s="56" t="str">
        <f>IF(Contents!$B$2=2,"PBCS 75","СОКБ 75")</f>
        <v>СОКБ 75</v>
      </c>
      <c r="K230" s="56">
        <v>2</v>
      </c>
      <c r="M230" s="595"/>
      <c r="N230" s="595"/>
      <c r="O230" s="22"/>
    </row>
    <row r="231" spans="2:15">
      <c r="B231" s="52"/>
      <c r="C231" s="53"/>
      <c r="D231" s="91"/>
      <c r="E231" s="91"/>
      <c r="F231" s="91"/>
      <c r="G231" s="91"/>
      <c r="H231" s="38"/>
      <c r="I231" s="39"/>
      <c r="K231" s="558"/>
      <c r="M231" s="595"/>
      <c r="N231" s="595"/>
      <c r="O231" s="22"/>
    </row>
    <row r="232" spans="2:15">
      <c r="B232" s="48" t="str">
        <f>IF(Contents!$B$2=2,"Supporting health of employees and local community members","Поддержка здоровья работников и представителей местного населения")</f>
        <v>Поддержка здоровья работников и представителей местного населения</v>
      </c>
      <c r="C232" s="49"/>
      <c r="D232" s="50"/>
      <c r="E232" s="50"/>
      <c r="F232" s="51"/>
      <c r="G232" s="51"/>
      <c r="H232" s="29"/>
      <c r="I232" s="39"/>
      <c r="K232" s="766"/>
      <c r="M232" s="595"/>
      <c r="N232" s="595"/>
      <c r="O232" s="22"/>
    </row>
    <row r="233" spans="2:15" ht="36">
      <c r="B233" s="52" t="str">
        <f>IF(Contents!$B$2=2," Expenses on supporting health of employees and local community members","Расходы на поддержку здоровья работников и представителей местного населения")</f>
        <v>Расходы на поддержку здоровья работников и представителей местного населения</v>
      </c>
      <c r="C233" s="53" t="str">
        <f>IF(Contents!$B$2=2,"RR th.","тыс. руб.")</f>
        <v>тыс. руб.</v>
      </c>
      <c r="D233" s="107" t="s">
        <v>185</v>
      </c>
      <c r="E233" s="96">
        <v>1033500</v>
      </c>
      <c r="F233" s="96">
        <v>1574100</v>
      </c>
      <c r="G233" s="95">
        <v>635500</v>
      </c>
      <c r="H233" s="38"/>
      <c r="I233" s="56" t="str">
        <f>IF(Contents!$B$2=2,"PBCS 76","СОКБ 76")</f>
        <v>СОКБ 76</v>
      </c>
      <c r="K233" s="56">
        <v>2</v>
      </c>
      <c r="M233" s="595"/>
      <c r="N233" s="595"/>
      <c r="O233" s="22"/>
    </row>
    <row r="234" spans="2:15">
      <c r="B234" s="87" t="str">
        <f>IF(Contents!$B$2=2,"Expenses on supporting employee health","Расходы на поддержку здоровья работников")</f>
        <v>Расходы на поддержку здоровья работников</v>
      </c>
      <c r="C234" s="53" t="str">
        <f>IF(Contents!$B$2=2,"RR th.","тыс. руб.")</f>
        <v>тыс. руб.</v>
      </c>
      <c r="D234" s="107" t="s">
        <v>185</v>
      </c>
      <c r="E234" s="107">
        <v>1013600</v>
      </c>
      <c r="F234" s="107">
        <v>1518200</v>
      </c>
      <c r="G234" s="793">
        <v>596000</v>
      </c>
      <c r="H234" s="38"/>
      <c r="I234" s="56" t="str">
        <f>IF(Contents!$B$2=2,"PBCS 76","СОКБ 76")</f>
        <v>СОКБ 76</v>
      </c>
      <c r="K234" s="56">
        <v>2</v>
      </c>
      <c r="M234" s="595"/>
      <c r="N234" s="595"/>
      <c r="O234" s="22"/>
    </row>
    <row r="235" spans="2:15">
      <c r="B235" s="87" t="str">
        <f>IF(Contents!$B$2=2,"Expenses on supporting health of local community members","Расходы на поддержку здоровья представителей местного населения")</f>
        <v>Расходы на поддержку здоровья представителей местного населения</v>
      </c>
      <c r="C235" s="53" t="str">
        <f>IF(Contents!$B$2=2,"RR th.","тыс. руб.")</f>
        <v>тыс. руб.</v>
      </c>
      <c r="D235" s="107" t="s">
        <v>185</v>
      </c>
      <c r="E235" s="107">
        <v>19900</v>
      </c>
      <c r="F235" s="107">
        <v>55900</v>
      </c>
      <c r="G235" s="793">
        <v>39500</v>
      </c>
      <c r="H235" s="38"/>
      <c r="I235" s="56" t="str">
        <f>IF(Contents!$B$2=2,"PBCS 76","СОКБ 76")</f>
        <v>СОКБ 76</v>
      </c>
      <c r="K235" s="56">
        <v>2</v>
      </c>
      <c r="M235" s="595"/>
      <c r="N235" s="595"/>
      <c r="O235" s="22"/>
    </row>
    <row r="236" spans="2:15" ht="36">
      <c r="B236" s="52" t="str">
        <f>IF(Contents!$B$2=2,"Ratio of Expenses on supporting health of employees and local community members to revenue","Отношение расходов на поддержку здоровья работников и представителей местного населения к выручке")</f>
        <v>Отношение расходов на поддержку здоровья работников и представителей местного населения к выручке</v>
      </c>
      <c r="C236" s="53" t="s">
        <v>0</v>
      </c>
      <c r="D236" s="107" t="s">
        <v>185</v>
      </c>
      <c r="E236" s="752">
        <v>0.08</v>
      </c>
      <c r="F236" s="752">
        <v>0.1</v>
      </c>
      <c r="G236" s="902">
        <v>4.3999999999999997E-2</v>
      </c>
      <c r="H236" s="38"/>
      <c r="I236" s="56" t="str">
        <f>IF(Contents!$B$2=2,"PBCS 76","СОКБ 76")</f>
        <v>СОКБ 76</v>
      </c>
      <c r="K236" s="56">
        <v>2</v>
      </c>
      <c r="M236" s="595"/>
      <c r="N236" s="595"/>
      <c r="O236" s="22"/>
    </row>
    <row r="237" spans="2:15">
      <c r="B237" s="87" t="str">
        <f>IF(Contents!$B$2=2,"Ratio of Expenses on supporting employee health to revenue","Отношение расходов на поддержку здоровья работников к выручке")</f>
        <v>Отношение расходов на поддержку здоровья работников к выручке</v>
      </c>
      <c r="C237" s="53" t="s">
        <v>0</v>
      </c>
      <c r="D237" s="812" t="s">
        <v>185</v>
      </c>
      <c r="E237" s="752">
        <v>7.0000000000000007E-2</v>
      </c>
      <c r="F237" s="752">
        <v>0.1</v>
      </c>
      <c r="G237" s="902">
        <v>0.04</v>
      </c>
      <c r="H237" s="38"/>
      <c r="I237" s="56" t="str">
        <f>IF(Contents!$B$2=2,"PBCS 76","СОКБ 76")</f>
        <v>СОКБ 76</v>
      </c>
      <c r="K237" s="56">
        <v>2</v>
      </c>
      <c r="M237" s="595"/>
      <c r="N237" s="595"/>
      <c r="O237" s="22"/>
    </row>
    <row r="238" spans="2:15" ht="36">
      <c r="B238" s="87" t="str">
        <f>IF(Contents!$B$2=2,"Ratio of Expenses on supporting health of local community members to revenue","Отношение расходов на поддержку здоровья представителей местного населения к выручке")</f>
        <v>Отношение расходов на поддержку здоровья представителей местного населения к выручке</v>
      </c>
      <c r="C238" s="53" t="s">
        <v>0</v>
      </c>
      <c r="D238" s="46" t="s">
        <v>185</v>
      </c>
      <c r="E238" s="776">
        <v>1E-3</v>
      </c>
      <c r="F238" s="776">
        <v>4.0000000000000001E-3</v>
      </c>
      <c r="G238" s="837">
        <v>3.0000000000000001E-3</v>
      </c>
      <c r="H238" s="38"/>
      <c r="I238" s="56" t="str">
        <f>IF(Contents!$B$2=2,"PBCS 76","СОКБ 76")</f>
        <v>СОКБ 76</v>
      </c>
      <c r="K238" s="56">
        <v>2</v>
      </c>
      <c r="M238" s="595"/>
      <c r="N238" s="595"/>
      <c r="O238" s="22"/>
    </row>
    <row r="239" spans="2:15">
      <c r="B239" s="87"/>
      <c r="C239" s="53"/>
      <c r="D239" s="91"/>
      <c r="F239" s="91"/>
      <c r="G239" s="91"/>
      <c r="H239" s="38"/>
      <c r="I239" s="39"/>
      <c r="K239" s="558"/>
      <c r="M239" s="595"/>
      <c r="N239" s="595"/>
      <c r="O239" s="22"/>
    </row>
    <row r="240" spans="2:15">
      <c r="B240" s="25" t="str">
        <f>IF(Contents!$B$2=2,"Notes:","Примечания:")</f>
        <v>Примечания:</v>
      </c>
      <c r="C240" s="53"/>
      <c r="D240" s="91"/>
      <c r="F240" s="91"/>
      <c r="G240" s="91"/>
      <c r="H240" s="38"/>
      <c r="I240" s="39"/>
      <c r="K240" s="558"/>
      <c r="M240" s="595"/>
      <c r="N240" s="595"/>
      <c r="O240" s="22"/>
    </row>
    <row r="241" spans="2:15">
      <c r="B241" s="26" t="str">
        <f>IF(Contents!$B$2=2,C243, B243)</f>
        <v>В расчеты по работникам включены расходы на программу добровольного медицинского страхования работников, программу санаторно-курортного оздоровления и программу культурно-массовых и спортивных мероприятий.</v>
      </c>
      <c r="C241" s="53"/>
      <c r="D241" s="91"/>
      <c r="F241" s="91"/>
      <c r="G241" s="91"/>
      <c r="H241" s="38"/>
      <c r="I241" s="39"/>
      <c r="K241" s="558"/>
      <c r="M241" s="595"/>
      <c r="N241" s="595"/>
      <c r="O241" s="22"/>
    </row>
    <row r="242" spans="2:15">
      <c r="B242" s="26" t="str">
        <f>IF(Contents!$B$2=2,E243, D243)</f>
        <v>В расчеты по представителям местного населения включены расходы на проекты «Таргетная терапия», «Движение Детям», «Движение Врослым» ,«Нейродети», «Атмосфера» и «Академия здоровья».</v>
      </c>
      <c r="C242" s="53"/>
      <c r="D242" s="91"/>
      <c r="F242" s="91"/>
      <c r="G242" s="91"/>
      <c r="H242" s="38"/>
      <c r="I242" s="39"/>
      <c r="K242" s="558"/>
      <c r="M242" s="595"/>
      <c r="N242" s="595"/>
      <c r="O242" s="22"/>
    </row>
    <row r="243" spans="2:15">
      <c r="B243" s="115" t="s">
        <v>15</v>
      </c>
      <c r="C243" s="115" t="s">
        <v>40</v>
      </c>
      <c r="D243" s="779" t="s">
        <v>16</v>
      </c>
      <c r="E243" s="779" t="s">
        <v>41</v>
      </c>
      <c r="F243" s="91"/>
      <c r="G243" s="91"/>
      <c r="H243" s="38"/>
      <c r="I243" s="39"/>
      <c r="K243" s="558"/>
      <c r="M243" s="595"/>
      <c r="N243" s="595"/>
      <c r="O243" s="22"/>
    </row>
    <row r="244" spans="2:15">
      <c r="B244" s="48" t="str">
        <f>IF(Contents!$B$2=2,"Healthcare infrastructure development","Развитие инфраструктуры здравоохранения")</f>
        <v>Развитие инфраструктуры здравоохранения</v>
      </c>
      <c r="C244" s="49"/>
      <c r="D244" s="50"/>
      <c r="E244" s="50"/>
      <c r="F244" s="51"/>
      <c r="G244" s="51"/>
      <c r="H244" s="29"/>
      <c r="I244" s="39"/>
      <c r="K244" s="766"/>
      <c r="M244" s="595"/>
      <c r="N244" s="595"/>
      <c r="O244" s="22"/>
    </row>
    <row r="245" spans="2:15">
      <c r="B245" s="52" t="str">
        <f>IF(Contents!$B$2=2,"Expenses on healthcare infrastructure development","Расходы на развитие инфраструктуры здравоохранения")</f>
        <v>Расходы на развитие инфраструктуры здравоохранения</v>
      </c>
      <c r="C245" s="53" t="str">
        <f>IF(Contents!$B$2=2,"RR th.","тыс. руб.")</f>
        <v>тыс. руб.</v>
      </c>
      <c r="D245" s="107" t="s">
        <v>185</v>
      </c>
      <c r="E245" s="107">
        <v>8300</v>
      </c>
      <c r="F245" s="107">
        <v>10900</v>
      </c>
      <c r="G245" s="793">
        <v>297800</v>
      </c>
      <c r="H245" s="38"/>
      <c r="I245" s="56" t="str">
        <f>IF(Contents!$B$2=2,"PBCS 77","СОКБ 77")</f>
        <v>СОКБ 77</v>
      </c>
      <c r="K245" s="56">
        <v>2</v>
      </c>
      <c r="M245" s="595"/>
      <c r="N245" s="595"/>
      <c r="O245" s="22"/>
    </row>
    <row r="246" spans="2:15">
      <c r="B246" s="52" t="str">
        <f>IF(Contents!$B$2=2,"Ratio of Expenses on the healthcare infrastructure development to revenue","Отношение расходов на развитие инфраструктуры здравоохранения к выручке")</f>
        <v>Отношение расходов на развитие инфраструктуры здравоохранения к выручке</v>
      </c>
      <c r="C246" s="53" t="s">
        <v>0</v>
      </c>
      <c r="D246" s="107" t="s">
        <v>185</v>
      </c>
      <c r="E246" s="813">
        <v>5.9999999999999995E-4</v>
      </c>
      <c r="F246" s="813">
        <v>6.9999999999999999E-4</v>
      </c>
      <c r="G246" s="919">
        <v>2.06E-2</v>
      </c>
      <c r="H246" s="38"/>
      <c r="I246" s="56" t="str">
        <f>IF(Contents!$B$2=2,"PBCS 77","СОКБ 77")</f>
        <v>СОКБ 77</v>
      </c>
      <c r="K246" s="56">
        <v>2</v>
      </c>
      <c r="M246" s="595"/>
      <c r="N246" s="595"/>
      <c r="O246" s="22"/>
    </row>
    <row r="247" spans="2:15">
      <c r="B247" s="52"/>
      <c r="C247" s="53"/>
      <c r="D247" s="91"/>
      <c r="E247" s="91"/>
      <c r="F247" s="91"/>
      <c r="H247" s="38"/>
      <c r="I247" s="39"/>
      <c r="K247" s="558"/>
      <c r="M247" s="595"/>
      <c r="N247" s="595"/>
      <c r="O247" s="22"/>
    </row>
    <row r="248" spans="2:15">
      <c r="B248" s="25" t="str">
        <f>IF(Contents!$B$2=2,"Notes:","Примечания:")</f>
        <v>Примечания:</v>
      </c>
      <c r="C248" s="53"/>
      <c r="D248" s="91"/>
      <c r="E248" s="91"/>
      <c r="F248" s="91"/>
      <c r="G248" s="91"/>
      <c r="H248" s="38"/>
      <c r="I248" s="39"/>
      <c r="K248" s="558"/>
      <c r="M248" s="595"/>
      <c r="N248" s="595"/>
      <c r="O248" s="22"/>
    </row>
    <row r="249" spans="2:15">
      <c r="B249" s="26" t="str">
        <f>IF(Contents!$B$2=2,C250, B250)</f>
        <v>В расчеты включены расходы на проект «Высокотехнологичное оборудование».</v>
      </c>
      <c r="C249" s="53"/>
      <c r="D249" s="91"/>
      <c r="E249" s="91"/>
      <c r="F249" s="91"/>
      <c r="G249" s="91"/>
      <c r="H249" s="38"/>
      <c r="I249" s="39"/>
      <c r="K249" s="558"/>
      <c r="M249" s="595"/>
      <c r="N249" s="595"/>
      <c r="O249" s="22"/>
    </row>
    <row r="250" spans="2:15">
      <c r="B250" s="115" t="s">
        <v>17</v>
      </c>
      <c r="C250" s="115" t="s">
        <v>28</v>
      </c>
      <c r="D250" s="91"/>
      <c r="E250" s="91"/>
      <c r="F250" s="91"/>
      <c r="G250" s="91"/>
      <c r="H250" s="38"/>
      <c r="I250" s="39"/>
      <c r="K250" s="558"/>
      <c r="M250" s="595"/>
      <c r="N250" s="595"/>
      <c r="O250" s="22"/>
    </row>
    <row r="251" spans="2:15">
      <c r="B251" s="48" t="str">
        <f>IF(Contents!$B$2=2,"Supporting vulnerable population groups","Поддержка социально незащищенных групп населения")</f>
        <v>Поддержка социально незащищенных групп населения</v>
      </c>
      <c r="C251" s="49"/>
      <c r="D251" s="50"/>
      <c r="E251" s="50"/>
      <c r="F251" s="51"/>
      <c r="G251" s="51"/>
      <c r="H251" s="29"/>
      <c r="I251" s="39"/>
      <c r="K251" s="766"/>
      <c r="M251" s="595"/>
      <c r="N251" s="595"/>
      <c r="O251" s="22"/>
    </row>
    <row r="252" spans="2:15">
      <c r="B252" s="52" t="str">
        <f>IF(Contents!$B$2=2,"Expenses on supporting vulnerable population groups","Расходы на поддержку социально незащищенных групп населения")</f>
        <v>Расходы на поддержку социально незащищенных групп населения</v>
      </c>
      <c r="C252" s="53" t="str">
        <f>IF(Contents!$B$2=2,"RR th.","тыс. руб.")</f>
        <v>тыс. руб.</v>
      </c>
      <c r="D252" s="107" t="s">
        <v>185</v>
      </c>
      <c r="E252" s="107">
        <v>9000</v>
      </c>
      <c r="F252" s="107">
        <v>76300</v>
      </c>
      <c r="G252" s="793">
        <v>33300</v>
      </c>
      <c r="H252" s="38"/>
      <c r="I252" s="56" t="str">
        <f>IF(Contents!$B$2=2,"PBCS 78","СОКБ 78")</f>
        <v>СОКБ 78</v>
      </c>
      <c r="K252" s="56">
        <v>2</v>
      </c>
      <c r="M252" s="595"/>
      <c r="N252" s="595"/>
      <c r="O252" s="22"/>
    </row>
    <row r="253" spans="2:15" ht="36">
      <c r="B253" s="52" t="str">
        <f>IF(Contents!$B$2=2,"Ratio of Expenses on supporting vulnerable population groups to revenue","Отношение расходов организации на поддержку социально незащищенных групп населения к выручке")</f>
        <v>Отношение расходов организации на поддержку социально незащищенных групп населения к выручке</v>
      </c>
      <c r="C253" s="53" t="s">
        <v>0</v>
      </c>
      <c r="D253" s="107" t="s">
        <v>185</v>
      </c>
      <c r="E253" s="776">
        <v>1E-3</v>
      </c>
      <c r="F253" s="776">
        <v>5.0000000000000001E-3</v>
      </c>
      <c r="G253" s="837">
        <v>2E-3</v>
      </c>
      <c r="H253" s="38"/>
      <c r="I253" s="56" t="str">
        <f>IF(Contents!$B$2=2,"PBCS 78","СОКБ 78")</f>
        <v>СОКБ 78</v>
      </c>
      <c r="K253" s="56">
        <v>2</v>
      </c>
      <c r="M253" s="595"/>
      <c r="N253" s="595"/>
      <c r="O253" s="22"/>
    </row>
    <row r="254" spans="2:15">
      <c r="B254" s="52"/>
      <c r="C254" s="53"/>
      <c r="D254" s="91"/>
      <c r="E254" s="782"/>
      <c r="F254" s="776"/>
      <c r="G254" s="776"/>
      <c r="H254" s="38"/>
      <c r="I254" s="774"/>
      <c r="K254" s="558"/>
      <c r="M254" s="595"/>
      <c r="N254" s="595"/>
      <c r="O254" s="22"/>
    </row>
    <row r="255" spans="2:15">
      <c r="B255" s="25" t="str">
        <f>IF(Contents!$B$2=2,"Notes:","Примечания:")</f>
        <v>Примечания:</v>
      </c>
      <c r="C255" s="53"/>
      <c r="D255" s="91"/>
      <c r="E255" s="782"/>
      <c r="F255" s="776"/>
      <c r="G255" s="776"/>
      <c r="H255" s="38"/>
      <c r="I255" s="774"/>
      <c r="K255" s="558"/>
      <c r="M255" s="595"/>
      <c r="N255" s="595"/>
      <c r="O255" s="22"/>
    </row>
    <row r="256" spans="2:15">
      <c r="B256" s="26" t="str">
        <f>IF(Contents!$B$2=2,C257, B257)</f>
        <v>В расчеты включены расходы на поддержку детей (адресная благотворительная помощь детям и помощь приютам и коррекционным детским садам).</v>
      </c>
      <c r="C256" s="53"/>
      <c r="D256" s="91"/>
      <c r="E256" s="782"/>
      <c r="F256" s="776"/>
      <c r="G256" s="776"/>
      <c r="H256" s="38"/>
      <c r="I256" s="774"/>
      <c r="K256" s="558"/>
      <c r="M256" s="595"/>
      <c r="N256" s="595"/>
      <c r="O256" s="22"/>
    </row>
    <row r="257" spans="2:15">
      <c r="B257" s="115" t="s">
        <v>18</v>
      </c>
      <c r="C257" s="115" t="s">
        <v>29</v>
      </c>
      <c r="D257" s="91"/>
      <c r="E257" s="91"/>
      <c r="F257" s="91"/>
      <c r="G257" s="91"/>
      <c r="H257" s="38"/>
      <c r="I257" s="39"/>
      <c r="K257" s="558"/>
      <c r="M257" s="595"/>
      <c r="N257" s="595"/>
      <c r="O257" s="22"/>
    </row>
    <row r="258" spans="2:15">
      <c r="B258" s="48" t="str">
        <f>IF(Contents!$B$2=2,"Supporting mass sports","Поддержка массового спорта")</f>
        <v>Поддержка массового спорта</v>
      </c>
      <c r="C258" s="49"/>
      <c r="D258" s="50"/>
      <c r="E258" s="50"/>
      <c r="F258" s="51"/>
      <c r="G258" s="51"/>
      <c r="H258" s="29"/>
      <c r="I258" s="39"/>
      <c r="K258" s="766"/>
      <c r="M258" s="595"/>
      <c r="N258" s="595"/>
      <c r="O258" s="22"/>
    </row>
    <row r="259" spans="2:15">
      <c r="B259" s="52" t="str">
        <f>IF(Contents!$B$2=2,"Expenses on supporting mass sports","Расходы на поддержку массового спорта")</f>
        <v>Расходы на поддержку массового спорта</v>
      </c>
      <c r="C259" s="53" t="str">
        <f>IF(Contents!$B$2=2,"RR th.","тыс. руб.")</f>
        <v>тыс. руб.</v>
      </c>
      <c r="D259" s="101" t="s">
        <v>185</v>
      </c>
      <c r="E259" s="107">
        <v>245600</v>
      </c>
      <c r="F259" s="107">
        <v>377300</v>
      </c>
      <c r="G259" s="793">
        <v>310600</v>
      </c>
      <c r="H259" s="38"/>
      <c r="I259" s="56" t="str">
        <f>IF(Contents!$B$2=2,"PBCS 79","СОКБ 79")</f>
        <v>СОКБ 79</v>
      </c>
      <c r="K259" s="558">
        <v>2</v>
      </c>
      <c r="M259" s="595"/>
      <c r="N259" s="595"/>
      <c r="O259" s="22"/>
    </row>
    <row r="260" spans="2:15">
      <c r="B260" s="52" t="str">
        <f>IF(Contents!$B$2=2,"Ratio of Expenses on supporting mass sports to revenue","Отношение расходов на поддержку массового спорта к выручке")</f>
        <v>Отношение расходов на поддержку массового спорта к выручке</v>
      </c>
      <c r="C260" s="53" t="s">
        <v>0</v>
      </c>
      <c r="D260" s="101" t="s">
        <v>185</v>
      </c>
      <c r="E260" s="776">
        <v>1.7999999999999999E-2</v>
      </c>
      <c r="F260" s="776">
        <v>2.4E-2</v>
      </c>
      <c r="G260" s="920">
        <v>2.1000000000000001E-2</v>
      </c>
      <c r="H260" s="38"/>
      <c r="I260" s="56" t="str">
        <f>IF(Contents!$B$2=2,"PBCS 79","СОКБ 79")</f>
        <v>СОКБ 79</v>
      </c>
      <c r="K260" s="558">
        <v>2</v>
      </c>
      <c r="M260" s="595"/>
      <c r="N260" s="595"/>
      <c r="O260" s="22"/>
    </row>
    <row r="261" spans="2:15">
      <c r="B261" s="52"/>
      <c r="C261" s="53"/>
      <c r="D261" s="91"/>
      <c r="E261" s="91"/>
      <c r="F261" s="91"/>
      <c r="G261" s="91"/>
      <c r="H261" s="38"/>
      <c r="I261" s="39"/>
      <c r="K261" s="558"/>
      <c r="M261" s="595"/>
      <c r="N261" s="595"/>
      <c r="O261" s="22"/>
    </row>
    <row r="262" spans="2:15">
      <c r="B262" s="25" t="str">
        <f>IF(Contents!$B$2=2,"Notes:","Примечания:")</f>
        <v>Примечания:</v>
      </c>
      <c r="C262" s="53"/>
      <c r="D262" s="91"/>
      <c r="E262" s="91"/>
      <c r="F262" s="91"/>
      <c r="G262" s="91"/>
      <c r="H262" s="38"/>
      <c r="I262" s="39"/>
      <c r="K262" s="558"/>
      <c r="M262" s="595"/>
      <c r="N262" s="595"/>
      <c r="O262" s="22"/>
    </row>
    <row r="263" spans="2:15">
      <c r="B263" s="26" t="str">
        <f>IF(Contents!$B$2=2,C264, B264)</f>
        <v>В расчеты включены расходы на программу культурно-массовых и спортивных мероприятий для работников, а также проекты по поддержке мини-футбола, баскетбола, волейбола для местных жителей.</v>
      </c>
      <c r="C263" s="53"/>
      <c r="D263" s="91"/>
      <c r="E263" s="91"/>
      <c r="F263" s="91"/>
      <c r="G263" s="91"/>
      <c r="H263" s="38"/>
      <c r="I263" s="39"/>
      <c r="K263" s="558"/>
      <c r="M263" s="595"/>
      <c r="N263" s="595"/>
      <c r="O263" s="22"/>
    </row>
    <row r="264" spans="2:15">
      <c r="B264" s="115" t="s">
        <v>19</v>
      </c>
      <c r="C264" s="115" t="s">
        <v>30</v>
      </c>
      <c r="D264" s="91"/>
      <c r="E264" s="91"/>
      <c r="F264" s="91"/>
      <c r="G264" s="91"/>
      <c r="H264" s="38"/>
      <c r="I264" s="39"/>
      <c r="K264" s="558"/>
      <c r="M264" s="595"/>
      <c r="N264" s="595"/>
      <c r="O264" s="22"/>
    </row>
    <row r="265" spans="2:15">
      <c r="B265" s="45" t="str">
        <f>IF(Contents!$B$2=2,"Realising the potential of each individual, developing his or her talents, and fostering a patriotic and socially responsible personality","Реализация потенциала каждого человека, развитие его талантов, воспитание патриотичной и социально ответственной личности")</f>
        <v>Реализация потенциала каждого человека, развитие его талантов, воспитание патриотичной и социально ответственной личности</v>
      </c>
      <c r="C265" s="45"/>
      <c r="D265" s="719"/>
      <c r="E265" s="719"/>
      <c r="F265" s="719"/>
      <c r="G265" s="719"/>
      <c r="H265" s="38"/>
      <c r="I265" s="39"/>
      <c r="K265" s="558"/>
      <c r="M265" s="595"/>
      <c r="N265" s="595"/>
      <c r="O265" s="22"/>
    </row>
    <row r="266" spans="2:15">
      <c r="B266" s="48" t="str">
        <f>IF(Contents!$B$2=2,"Supporting education","Поддержка образования")</f>
        <v>Поддержка образования</v>
      </c>
      <c r="C266" s="49"/>
      <c r="D266" s="50"/>
      <c r="E266" s="50"/>
      <c r="F266" s="51"/>
      <c r="G266" s="51"/>
      <c r="H266" s="29"/>
      <c r="I266" s="39"/>
      <c r="K266" s="766"/>
      <c r="M266" s="595"/>
      <c r="N266" s="595"/>
      <c r="O266" s="22"/>
    </row>
    <row r="267" spans="2:15">
      <c r="B267" s="52" t="str">
        <f>IF(Contents!$B$2=2,"Expenses on supporting education","Расходы, направленные на поддержку образования")</f>
        <v>Расходы, направленные на поддержку образования</v>
      </c>
      <c r="C267" s="53" t="str">
        <f>IF(Contents!$B$2=2,"RR th.","тыс. руб.")</f>
        <v>тыс. руб.</v>
      </c>
      <c r="D267" s="91" t="s">
        <v>185</v>
      </c>
      <c r="E267" s="107">
        <v>37500</v>
      </c>
      <c r="F267" s="107">
        <v>48209</v>
      </c>
      <c r="G267" s="793">
        <v>101534</v>
      </c>
      <c r="H267" s="38"/>
      <c r="I267" s="56" t="str">
        <f>IF(Contents!$B$2=2,"PBCS 80","СОКБ 80")</f>
        <v>СОКБ 80</v>
      </c>
      <c r="K267" s="56">
        <v>2</v>
      </c>
      <c r="L267" s="558"/>
      <c r="M267" s="595"/>
      <c r="N267" s="595"/>
      <c r="O267" s="22"/>
    </row>
    <row r="268" spans="2:15">
      <c r="B268" s="23" t="str">
        <f>IF(Contents!$B$2=2,"by activities","по направлениям")</f>
        <v>по направлениям</v>
      </c>
      <c r="C268" s="77"/>
      <c r="D268" s="111"/>
      <c r="E268" s="111"/>
      <c r="F268" s="111"/>
      <c r="G268" s="111"/>
      <c r="H268" s="29"/>
      <c r="I268" s="39"/>
      <c r="K268" s="558"/>
      <c r="L268" s="558"/>
      <c r="M268" s="595"/>
      <c r="N268" s="595"/>
      <c r="O268" s="22"/>
    </row>
    <row r="269" spans="2:15">
      <c r="B269" s="87" t="str">
        <f>IF(Contents!$B$2=2,"Expenses on supporting general education organizations","Расходы, направленные на поддержку общеобразовательных организаций")</f>
        <v>Расходы, направленные на поддержку общеобразовательных организаций</v>
      </c>
      <c r="C269" s="53" t="str">
        <f>IF(Contents!$B$2=2,"RR th.","тыс. руб.")</f>
        <v>тыс. руб.</v>
      </c>
      <c r="D269" s="90" t="s">
        <v>185</v>
      </c>
      <c r="E269" s="777" t="s">
        <v>185</v>
      </c>
      <c r="F269" s="46">
        <v>10302</v>
      </c>
      <c r="G269" s="793">
        <v>33542</v>
      </c>
      <c r="H269" s="38"/>
      <c r="I269" s="56" t="str">
        <f>IF(Contents!$B$2=2,"PBCS 80","СОКБ 80")</f>
        <v>СОКБ 80</v>
      </c>
      <c r="K269" s="56">
        <v>2</v>
      </c>
      <c r="L269" s="558"/>
      <c r="M269" s="595"/>
      <c r="N269" s="595"/>
      <c r="O269" s="22"/>
    </row>
    <row r="270" spans="2:15" ht="36">
      <c r="B270" s="87" t="str">
        <f>IF(Contents!$B$2=2,"Expenses on supporting organizations implementing secondary vocational education programs","Расходы, направленные на поддержку организаций, реализующих программы среднего профессионального образования")</f>
        <v>Расходы, направленные на поддержку организаций, реализующих программы среднего профессионального образования</v>
      </c>
      <c r="C270" s="53" t="str">
        <f>IF(Contents!$B$2=2,"RR th.","тыс. руб.")</f>
        <v>тыс. руб.</v>
      </c>
      <c r="D270" s="90" t="s">
        <v>185</v>
      </c>
      <c r="E270" s="107">
        <v>900</v>
      </c>
      <c r="F270" s="107">
        <v>1630</v>
      </c>
      <c r="G270" s="204">
        <v>2800</v>
      </c>
      <c r="H270" s="38"/>
      <c r="I270" s="56" t="str">
        <f>IF(Contents!$B$2=2,"PBCS 80","СОКБ 80")</f>
        <v>СОКБ 80</v>
      </c>
      <c r="K270" s="56">
        <v>2</v>
      </c>
      <c r="L270" s="558"/>
      <c r="M270" s="595"/>
      <c r="N270" s="595"/>
      <c r="O270" s="22"/>
    </row>
    <row r="271" spans="2:15" ht="36">
      <c r="B271" s="87" t="str">
        <f>IF(Contents!$B$2=2,"Expenses on career guidance programs and activities for children and youth","Расходы на программы и мероприятия, направленные на профессиональную ориентацию детей и молодежи")</f>
        <v>Расходы на программы и мероприятия, направленные на профессиональную ориентацию детей и молодежи</v>
      </c>
      <c r="C271" s="53" t="str">
        <f>IF(Contents!$B$2=2,"RR th.","тыс. руб.")</f>
        <v>тыс. руб.</v>
      </c>
      <c r="D271" s="90" t="s">
        <v>185</v>
      </c>
      <c r="E271" s="107">
        <v>16700</v>
      </c>
      <c r="F271" s="107">
        <v>16033</v>
      </c>
      <c r="G271" s="204">
        <v>18475</v>
      </c>
      <c r="H271" s="38"/>
      <c r="I271" s="56" t="str">
        <f>IF(Contents!$B$2=2,"PBCS 80","СОКБ 80")</f>
        <v>СОКБ 80</v>
      </c>
      <c r="K271" s="56">
        <v>2</v>
      </c>
      <c r="L271" s="558"/>
      <c r="M271" s="595"/>
      <c r="N271" s="595"/>
      <c r="O271" s="22"/>
    </row>
    <row r="272" spans="2:15" ht="36">
      <c r="B272" s="87" t="str">
        <f>IF(Contents!$B$2=2,"Expenses on supporting additional education for children and youth","Расходы, направленные на поддержку дополнительного образования для детей и молодежи")</f>
        <v>Расходы, направленные на поддержку дополнительного образования для детей и молодежи</v>
      </c>
      <c r="C272" s="53" t="str">
        <f>IF(Contents!$B$2=2,"RR th.","тыс. руб.")</f>
        <v>тыс. руб.</v>
      </c>
      <c r="D272" s="90" t="s">
        <v>185</v>
      </c>
      <c r="E272" s="96" t="s">
        <v>185</v>
      </c>
      <c r="F272" s="96">
        <v>6742</v>
      </c>
      <c r="G272" s="95">
        <v>16757</v>
      </c>
      <c r="H272" s="38"/>
      <c r="I272" s="56" t="str">
        <f>IF(Contents!$B$2=2,"PBCS 80","СОКБ 80")</f>
        <v>СОКБ 80</v>
      </c>
      <c r="K272" s="56">
        <v>2</v>
      </c>
      <c r="L272" s="558"/>
      <c r="M272" s="595"/>
      <c r="N272" s="595"/>
      <c r="O272" s="22"/>
    </row>
    <row r="273" spans="2:15">
      <c r="B273" s="87" t="str">
        <f>IF(Contents!$B$2=2,"Expenses on supporting higher education organizations","Расходы, направленные на поддержку организаций высшего образования")</f>
        <v>Расходы, направленные на поддержку организаций высшего образования</v>
      </c>
      <c r="C273" s="53" t="str">
        <f>IF(Contents!$B$2=2,"RR th.","тыс. руб.")</f>
        <v>тыс. руб.</v>
      </c>
      <c r="D273" s="90" t="s">
        <v>185</v>
      </c>
      <c r="E273" s="107">
        <v>19900</v>
      </c>
      <c r="F273" s="107">
        <v>13502</v>
      </c>
      <c r="G273" s="204">
        <v>29960</v>
      </c>
      <c r="H273" s="38"/>
      <c r="I273" s="56" t="str">
        <f>IF(Contents!$B$2=2,"PBCS 80","СОКБ 80")</f>
        <v>СОКБ 80</v>
      </c>
      <c r="K273" s="56">
        <v>2</v>
      </c>
      <c r="L273" s="558"/>
      <c r="M273" s="595"/>
      <c r="N273" s="595"/>
      <c r="O273" s="22"/>
    </row>
    <row r="274" spans="2:15">
      <c r="B274" s="87"/>
      <c r="C274" s="53"/>
      <c r="D274" s="90"/>
      <c r="E274" s="780"/>
      <c r="F274" s="776"/>
      <c r="G274" s="776"/>
      <c r="H274" s="38"/>
      <c r="I274" s="774"/>
      <c r="K274" s="558"/>
      <c r="M274" s="595"/>
      <c r="N274" s="595"/>
      <c r="O274" s="22"/>
    </row>
    <row r="275" spans="2:15">
      <c r="B275" s="25" t="str">
        <f>IF([1]Contents!$B$2=2,"Notes:","Примечания:")</f>
        <v>Примечания:</v>
      </c>
      <c r="C275" s="53"/>
      <c r="D275" s="90"/>
      <c r="E275" s="780"/>
      <c r="F275" s="776"/>
      <c r="G275" s="38"/>
      <c r="H275" s="774"/>
      <c r="J275" s="558"/>
      <c r="L275" s="595"/>
      <c r="M275" s="595"/>
      <c r="N275" s="22"/>
    </row>
    <row r="276" spans="2:15">
      <c r="B276" s="26" t="str">
        <f>IF(Contents!$B$2=2,C280, B280)</f>
        <v>В расходы на поддержку общеобразовательных организаций включены финансирование корпоративного ресурсного учебного центра на базе Тарко-Салинского колледжа, расходы на материально-техническую поддержку образовательных программ школ-интернатов, участие школьников в выездных мероприятиях.</v>
      </c>
      <c r="C276" s="53"/>
      <c r="D276" s="90"/>
      <c r="E276" s="780"/>
      <c r="F276" s="776"/>
      <c r="G276" s="38"/>
      <c r="H276" s="774"/>
      <c r="J276" s="558"/>
      <c r="L276" s="595"/>
      <c r="M276" s="595"/>
      <c r="N276" s="22"/>
    </row>
    <row r="277" spans="2:15">
      <c r="B277" s="26" t="str">
        <f>IF(Contents!$B$2=2,C281, B281)</f>
        <v>В расходы на поддержку организаций, реализующих программы среднего профессионального образования включены расходы на программу «Гранты» для школьников и учителей.</v>
      </c>
      <c r="C277" s="53"/>
      <c r="D277" s="90"/>
      <c r="E277" s="780"/>
      <c r="F277" s="776"/>
      <c r="G277" s="38"/>
      <c r="H277" s="774"/>
      <c r="J277" s="558"/>
      <c r="L277" s="595"/>
      <c r="M277" s="595"/>
      <c r="N277" s="22"/>
    </row>
    <row r="278" spans="2:15">
      <c r="B278" s="26" t="str">
        <f>IF(Contents!$B$2=2,C282, B282)</f>
        <v>В расходы на программы и мероприятия, направленные на профессиональную ориентацию детей и молодежи включены расходы на программу «Одаренные дети».</v>
      </c>
      <c r="C278" s="53"/>
      <c r="D278" s="90"/>
      <c r="E278" s="780"/>
      <c r="F278" s="776"/>
      <c r="G278" s="38"/>
      <c r="H278" s="774"/>
      <c r="J278" s="558"/>
      <c r="L278" s="595"/>
      <c r="M278" s="595"/>
      <c r="N278" s="22"/>
    </row>
    <row r="279" spans="2:15">
      <c r="B279" s="26" t="str">
        <f>IF(Contents!$B$2=2,C283, B283)</f>
        <v>В расходы на поддержку дополнительного образования для детей и молодежи включены расходы на организацию проектной, проектно-исследовательской деятельности, лекционных и практических занятий для детей и молодежи.</v>
      </c>
      <c r="C279" s="53"/>
      <c r="D279" s="90"/>
      <c r="E279" s="780"/>
      <c r="F279" s="776"/>
      <c r="G279" s="38"/>
      <c r="H279" s="774"/>
      <c r="J279" s="558"/>
      <c r="L279" s="595"/>
      <c r="M279" s="595"/>
      <c r="N279" s="22"/>
    </row>
    <row r="280" spans="2:15" hidden="1">
      <c r="B280" s="26" t="s">
        <v>20</v>
      </c>
      <c r="C280" s="53" t="s">
        <v>43</v>
      </c>
      <c r="D280" s="90"/>
      <c r="E280" s="780"/>
      <c r="F280" s="776"/>
      <c r="G280" s="38"/>
      <c r="H280" s="774"/>
      <c r="J280" s="558"/>
      <c r="L280" s="595"/>
      <c r="M280" s="595"/>
      <c r="N280" s="22"/>
    </row>
    <row r="281" spans="2:15" hidden="1">
      <c r="B281" s="26" t="s">
        <v>21</v>
      </c>
      <c r="C281" s="53" t="s">
        <v>42</v>
      </c>
      <c r="D281" s="90"/>
      <c r="E281" s="780"/>
      <c r="F281" s="776"/>
      <c r="G281" s="38"/>
      <c r="H281" s="774"/>
      <c r="J281" s="558"/>
      <c r="L281" s="595"/>
      <c r="M281" s="595"/>
      <c r="N281" s="22"/>
    </row>
    <row r="282" spans="2:15" hidden="1">
      <c r="B282" s="26" t="s">
        <v>22</v>
      </c>
      <c r="C282" s="53" t="s">
        <v>44</v>
      </c>
      <c r="D282" s="90"/>
      <c r="E282" s="780"/>
      <c r="F282" s="776"/>
      <c r="G282" s="38"/>
      <c r="H282" s="774"/>
      <c r="J282" s="558"/>
      <c r="L282" s="595"/>
      <c r="M282" s="595"/>
      <c r="N282" s="22"/>
    </row>
    <row r="283" spans="2:15" hidden="1">
      <c r="B283" s="26" t="str">
        <f>IF([1]Contents!$B$2=2,I284, H284)</f>
        <v>В расходы на поддержку дополнительного образования для детей и молодежи включены расходы на организацию проектной, проектно-исследовательской деятельности, лекционных и практических занятий для детей и молодежи.</v>
      </c>
      <c r="C283" s="53" t="s">
        <v>45</v>
      </c>
      <c r="D283" s="90"/>
      <c r="E283" s="780"/>
      <c r="F283" s="776"/>
      <c r="G283" s="38"/>
      <c r="H283" s="774"/>
      <c r="J283" s="558"/>
      <c r="L283" s="595"/>
      <c r="M283" s="595"/>
      <c r="N283" s="22"/>
    </row>
    <row r="284" spans="2:15" s="117" customFormat="1" ht="18">
      <c r="B284" s="115" t="s">
        <v>20</v>
      </c>
      <c r="C284" s="115" t="s">
        <v>43</v>
      </c>
      <c r="D284" s="779" t="s">
        <v>21</v>
      </c>
      <c r="E284" s="779" t="s">
        <v>42</v>
      </c>
      <c r="F284" s="779" t="s">
        <v>22</v>
      </c>
      <c r="G284" s="115" t="s">
        <v>44</v>
      </c>
      <c r="H284" s="779" t="s">
        <v>23</v>
      </c>
      <c r="I284" s="779" t="s">
        <v>45</v>
      </c>
      <c r="J284" s="779"/>
      <c r="K284" s="779"/>
      <c r="L284" s="601"/>
      <c r="M284" s="601"/>
      <c r="N284" s="778"/>
    </row>
    <row r="285" spans="2:15" ht="36">
      <c r="B285" s="48" t="str">
        <f>IF(Contents!$B$2=2,"Shaping traditional Russian spiritual, moral, cultural and historical values","Формирование традиционных российских духовно-нравственных и культурно-исторических ценностей")</f>
        <v>Формирование традиционных российских духовно-нравственных и культурно-исторических ценностей</v>
      </c>
      <c r="C285" s="49"/>
      <c r="D285" s="50"/>
      <c r="E285" s="50"/>
      <c r="F285" s="51"/>
      <c r="G285" s="51"/>
      <c r="H285" s="38"/>
      <c r="I285" s="39"/>
      <c r="K285" s="558"/>
      <c r="M285" s="595"/>
      <c r="N285" s="595"/>
      <c r="O285" s="22"/>
    </row>
    <row r="286" spans="2:15" ht="54">
      <c r="B286" s="52" t="str">
        <f>IF(Contents!$B$2=2,"Expenses on initiatives and projects aimed at shaping traditional Russian spiritual, moral, cultural and historical values","Расходы на инициативы и проекты, направленные на формирование традиционных российских духовно-нравственных и культурно-исторических ценностей")</f>
        <v>Расходы на инициативы и проекты, направленные на формирование традиционных российских духовно-нравственных и культурно-исторических ценностей</v>
      </c>
      <c r="C286" s="53" t="str">
        <f>IF(Contents!$B$2=2,"RR th.","тыс. руб.")</f>
        <v>тыс. руб.</v>
      </c>
      <c r="D286" s="90" t="s">
        <v>185</v>
      </c>
      <c r="E286" s="90" t="s">
        <v>185</v>
      </c>
      <c r="F286" s="90">
        <v>233500</v>
      </c>
      <c r="G286" s="95">
        <v>217900</v>
      </c>
      <c r="H286" s="38"/>
      <c r="I286" s="56" t="str">
        <f>IF(Contents!$B$2=2,"PBCS 81","СОКБ 81")</f>
        <v>СОКБ 81</v>
      </c>
      <c r="K286" s="56">
        <v>2</v>
      </c>
      <c r="M286" s="595"/>
      <c r="N286" s="595"/>
      <c r="O286" s="22"/>
    </row>
    <row r="287" spans="2:15" ht="54">
      <c r="B287" s="52" t="str">
        <f>IF(Contents!$B$2=2,"Ratio of Expenses on initiatives and projects aimed at shaping traditional Russian spiritual, moral, cultural and historical values to revenue","Отношение расходов на инициативы и проекты, направленные на формирование традиционных духовно-нравственных и культурно-исторических ценностей, к выручке")</f>
        <v>Отношение расходов на инициативы и проекты, направленные на формирование традиционных духовно-нравственных и культурно-исторических ценностей, к выручке</v>
      </c>
      <c r="C287" s="53" t="s">
        <v>0</v>
      </c>
      <c r="D287" s="96" t="s">
        <v>185</v>
      </c>
      <c r="E287" s="96" t="s">
        <v>185</v>
      </c>
      <c r="F287" s="811">
        <v>1.4999999999999999E-2</v>
      </c>
      <c r="G287" s="917">
        <v>1.4999999999999999E-2</v>
      </c>
      <c r="H287" s="38"/>
      <c r="I287" s="56" t="str">
        <f>IF(Contents!$B$2=2,"PBCS 81","СОКБ 81")</f>
        <v>СОКБ 81</v>
      </c>
      <c r="K287" s="56">
        <v>2</v>
      </c>
      <c r="M287" s="595"/>
      <c r="N287" s="595"/>
      <c r="O287" s="22"/>
    </row>
    <row r="288" spans="2:15">
      <c r="B288" s="52"/>
      <c r="C288" s="53"/>
      <c r="D288" s="91"/>
      <c r="E288" s="91"/>
      <c r="F288" s="91"/>
      <c r="G288" s="91"/>
      <c r="H288" s="38"/>
      <c r="I288" s="39"/>
      <c r="K288" s="558"/>
      <c r="M288" s="595"/>
      <c r="N288" s="595"/>
      <c r="O288" s="22"/>
    </row>
    <row r="289" spans="2:15">
      <c r="B289" s="25" t="str">
        <f>IF(Contents!$B$2=2,"Notes:","Примечания:")</f>
        <v>Примечания:</v>
      </c>
      <c r="C289" s="53"/>
      <c r="D289" s="91"/>
      <c r="E289" s="91"/>
      <c r="F289" s="91"/>
      <c r="G289" s="91"/>
      <c r="H289" s="38"/>
      <c r="I289" s="39"/>
      <c r="K289" s="558"/>
      <c r="M289" s="595"/>
      <c r="N289" s="595"/>
      <c r="O289" s="22"/>
    </row>
    <row r="290" spans="2:15">
      <c r="B290" s="26" t="str">
        <f>IF(Contents!$B$2=2,C291, B291)</f>
        <v>В расчеты включены расходы на поддержку выставочной и просветительской деятельности.</v>
      </c>
      <c r="C290" s="53"/>
      <c r="D290" s="91"/>
      <c r="E290" s="91"/>
      <c r="F290" s="91"/>
      <c r="G290" s="91"/>
      <c r="H290" s="38"/>
      <c r="I290" s="39"/>
      <c r="K290" s="558"/>
      <c r="M290" s="595"/>
      <c r="N290" s="595"/>
      <c r="O290" s="22"/>
    </row>
    <row r="291" spans="2:15">
      <c r="B291" s="113" t="s">
        <v>24</v>
      </c>
      <c r="C291" s="115" t="s">
        <v>46</v>
      </c>
      <c r="D291" s="91"/>
      <c r="E291" s="91"/>
      <c r="F291" s="91"/>
      <c r="G291" s="91"/>
      <c r="H291" s="38"/>
      <c r="I291" s="39"/>
      <c r="K291" s="558"/>
      <c r="M291" s="595"/>
      <c r="N291" s="595"/>
      <c r="O291" s="22"/>
    </row>
    <row r="292" spans="2:15">
      <c r="B292" s="48" t="str">
        <f>IF(Contents!$B$2=2,"Volunteer activities","Добровольческая (волонтерская) деятельность")</f>
        <v>Добровольческая (волонтерская) деятельность</v>
      </c>
      <c r="C292" s="49"/>
      <c r="D292" s="50"/>
      <c r="E292" s="50"/>
      <c r="F292" s="50"/>
      <c r="G292" s="50"/>
      <c r="H292" s="38"/>
      <c r="I292" s="39"/>
      <c r="K292" s="558"/>
      <c r="M292" s="595"/>
      <c r="N292" s="595"/>
      <c r="O292" s="22"/>
    </row>
    <row r="293" spans="2:15">
      <c r="B293" s="52" t="str">
        <f>IF(Contents!$B$2=2,"Expenses on volunteer activities","Расходы на добровольческую (волонтерскую) деятельность")</f>
        <v>Расходы на добровольческую (волонтерскую) деятельность</v>
      </c>
      <c r="C293" s="53" t="str">
        <f>IF(Contents!$B$2=2,"RR th.","тыс. руб.")</f>
        <v>тыс. руб.</v>
      </c>
      <c r="D293" s="96" t="s">
        <v>185</v>
      </c>
      <c r="E293" s="96" t="s">
        <v>185</v>
      </c>
      <c r="F293" s="96">
        <v>700</v>
      </c>
      <c r="G293" s="96">
        <v>800</v>
      </c>
      <c r="H293" s="38"/>
      <c r="I293" s="774" t="str">
        <f>IF(Contents!$B$2=2,"PBCS 82","СОКБ 82")</f>
        <v>СОКБ 82</v>
      </c>
      <c r="K293" s="558">
        <v>2</v>
      </c>
      <c r="M293" s="595"/>
      <c r="N293" s="595"/>
      <c r="O293" s="22"/>
    </row>
    <row r="294" spans="2:15" ht="36">
      <c r="B294" s="52" t="str">
        <f>IF(Contents!$B$2=2,"Ratio of Expenses on volunteer activities to revenue","Отношение расходов на добровольческую (волонтерскую) деятельность к выручке")</f>
        <v>Отношение расходов на добровольческую (волонтерскую) деятельность к выручке</v>
      </c>
      <c r="C294" s="53" t="s">
        <v>7</v>
      </c>
      <c r="D294" s="96" t="s">
        <v>185</v>
      </c>
      <c r="E294" s="96" t="s">
        <v>185</v>
      </c>
      <c r="F294" s="815">
        <v>4.5000000000000003E-5</v>
      </c>
      <c r="G294" s="815">
        <v>5.5000000000000002E-5</v>
      </c>
      <c r="H294" s="38"/>
      <c r="I294" s="774" t="str">
        <f>IF(Contents!$B$2=2,"PBCS 82","СОКБ 82")</f>
        <v>СОКБ 82</v>
      </c>
      <c r="K294" s="558">
        <v>2</v>
      </c>
      <c r="M294" s="595"/>
      <c r="N294" s="595"/>
      <c r="O294" s="22"/>
    </row>
    <row r="295" spans="2:15">
      <c r="B295" s="52"/>
      <c r="C295" s="53"/>
      <c r="D295" s="91"/>
      <c r="E295" s="91"/>
      <c r="F295" s="91"/>
      <c r="G295" s="91"/>
      <c r="H295" s="38"/>
      <c r="I295" s="39"/>
      <c r="K295" s="558"/>
      <c r="M295" s="595"/>
      <c r="N295" s="595"/>
      <c r="O295" s="22"/>
    </row>
    <row r="296" spans="2:15" ht="36">
      <c r="B296" s="48" t="str">
        <f>IF(Contents!$B$2=2,"Infrastructure development for culture, art, and folk arts","Развитие инфраструктуры в сфере культуры, искусства и народного творчества")</f>
        <v>Развитие инфраструктуры в сфере культуры, искусства и народного творчества</v>
      </c>
      <c r="C296" s="49"/>
      <c r="D296" s="50"/>
      <c r="E296" s="50"/>
      <c r="F296" s="50"/>
      <c r="G296" s="50"/>
      <c r="H296" s="38"/>
      <c r="I296" s="39"/>
      <c r="K296" s="558"/>
      <c r="M296" s="595"/>
      <c r="N296" s="595"/>
      <c r="O296" s="22"/>
    </row>
    <row r="297" spans="2:15" ht="36">
      <c r="B297" s="52" t="str">
        <f>IF(Contents!$B$2=2,"Expenses on infrastructure development for culture, art, and folk arts","Расходы на развитие инфраструктуры в сфере культуры, искусства и народного творчества")</f>
        <v>Расходы на развитие инфраструктуры в сфере культуры, искусства и народного творчества</v>
      </c>
      <c r="C297" s="53" t="str">
        <f>IF(Contents!$B$2=2,"RR th.","тыс. руб.")</f>
        <v>тыс. руб.</v>
      </c>
      <c r="D297" s="96" t="s">
        <v>185</v>
      </c>
      <c r="E297" s="107">
        <v>1200</v>
      </c>
      <c r="F297" s="107">
        <v>1400</v>
      </c>
      <c r="G297" s="793">
        <v>1500</v>
      </c>
      <c r="H297" s="38"/>
      <c r="I297" s="774" t="str">
        <f>IF(Contents!$B$2=2,"PBCS 83","СОКБ 83")</f>
        <v>СОКБ 83</v>
      </c>
      <c r="K297" s="56">
        <v>2</v>
      </c>
      <c r="M297" s="595"/>
      <c r="N297" s="595"/>
      <c r="O297" s="22"/>
    </row>
    <row r="298" spans="2:15" ht="36">
      <c r="B298" s="52" t="str">
        <f>IF(Contents!$B$2=2,"Ratio of Expenses on infrastructure development for culture, art, and folk arts to revenue","Отношение расходов на развитие инфраструктуры в сфере культуры, искусства и народного творчества к выручке")</f>
        <v>Отношение расходов на развитие инфраструктуры в сфере культуры, искусства и народного творчества к выручке</v>
      </c>
      <c r="C298" s="53" t="s">
        <v>7</v>
      </c>
      <c r="D298" s="96" t="s">
        <v>185</v>
      </c>
      <c r="E298" s="816">
        <v>8.7000000000000001E-5</v>
      </c>
      <c r="F298" s="816">
        <v>9.1000000000000003E-5</v>
      </c>
      <c r="G298" s="919">
        <v>1.0399999999999999E-4</v>
      </c>
      <c r="H298" s="38"/>
      <c r="I298" s="774" t="str">
        <f>IF(Contents!$B$2=2,"PBCS 83","СОКБ 83")</f>
        <v>СОКБ 83</v>
      </c>
      <c r="K298" s="56">
        <v>2</v>
      </c>
      <c r="M298" s="595"/>
      <c r="N298" s="595"/>
      <c r="O298" s="22"/>
    </row>
    <row r="299" spans="2:15">
      <c r="B299" s="52"/>
      <c r="C299" s="53"/>
      <c r="D299" s="91"/>
      <c r="E299" s="91"/>
      <c r="F299" s="91"/>
      <c r="G299" s="91"/>
      <c r="H299" s="38"/>
      <c r="I299" s="39"/>
      <c r="K299" s="558"/>
      <c r="M299" s="595"/>
      <c r="N299" s="595"/>
      <c r="O299" s="22"/>
    </row>
    <row r="300" spans="2:15">
      <c r="B300" s="25" t="str">
        <f>IF(Contents!$B$2=2,"Notes:","Примечания:")</f>
        <v>Примечания:</v>
      </c>
      <c r="C300" s="61"/>
      <c r="D300" s="108"/>
      <c r="E300" s="108"/>
      <c r="F300" s="108"/>
      <c r="G300" s="108"/>
      <c r="H300" s="38"/>
      <c r="I300" s="39"/>
      <c r="K300" s="558"/>
      <c r="M300" s="595"/>
      <c r="N300" s="595"/>
      <c r="O300" s="22"/>
    </row>
    <row r="301" spans="2:15">
      <c r="B301" s="26" t="str">
        <f>IF(Contents!$B$2=2,C302, B302)</f>
        <v>В расчеты включены расходы на восстановление мемориалов.</v>
      </c>
      <c r="C301" s="61"/>
      <c r="D301" s="108"/>
      <c r="E301" s="108"/>
      <c r="F301" s="108"/>
      <c r="G301" s="108"/>
      <c r="H301" s="38"/>
      <c r="I301" s="39"/>
      <c r="K301" s="558"/>
      <c r="M301" s="595"/>
      <c r="N301" s="595"/>
      <c r="O301" s="22"/>
    </row>
    <row r="302" spans="2:15">
      <c r="B302" s="113" t="s">
        <v>25</v>
      </c>
      <c r="C302" s="775" t="s">
        <v>31</v>
      </c>
      <c r="D302" s="91"/>
      <c r="E302" s="91"/>
      <c r="F302" s="91"/>
      <c r="G302" s="91"/>
      <c r="H302" s="38"/>
      <c r="I302" s="39"/>
      <c r="K302" s="558"/>
      <c r="M302" s="595"/>
      <c r="N302" s="595"/>
      <c r="O302" s="22"/>
    </row>
    <row r="303" spans="2:15">
      <c r="B303" s="45" t="str">
        <f>IF(Contents!$B$2=2,"Comfortable and safe living environment","Комфортная и безопасная среда для жизни")</f>
        <v>Комфортная и безопасная среда для жизни</v>
      </c>
      <c r="C303" s="45"/>
      <c r="D303" s="719"/>
      <c r="E303" s="719"/>
      <c r="F303" s="719"/>
      <c r="G303" s="719"/>
      <c r="H303" s="38"/>
      <c r="I303" s="39"/>
      <c r="K303" s="558"/>
      <c r="M303" s="595"/>
      <c r="N303" s="595"/>
      <c r="O303" s="22"/>
    </row>
    <row r="304" spans="2:15" ht="36">
      <c r="B304" s="48" t="str">
        <f>IF(Contents!$B$2=2,"Improving housing conditions of employees and local community members","Улучшение жилищных условий работников и представителей местных сообществ")</f>
        <v>Улучшение жилищных условий работников и представителей местных сообществ</v>
      </c>
      <c r="C304" s="49"/>
      <c r="D304" s="50"/>
      <c r="E304" s="50"/>
      <c r="F304" s="51"/>
      <c r="G304" s="51"/>
      <c r="H304" s="38"/>
      <c r="I304" s="39"/>
      <c r="K304" s="558"/>
      <c r="M304" s="595"/>
      <c r="N304" s="595"/>
      <c r="O304" s="22"/>
    </row>
    <row r="305" spans="2:15" ht="36">
      <c r="B305" s="52" t="str">
        <f>IF(Contents!$B$2=2,"Expenses on improving housing conditions of employees and local community members","Расходы на улучшение жилищных условий работников и представителей местных сообществ")</f>
        <v>Расходы на улучшение жилищных условий работников и представителей местных сообществ</v>
      </c>
      <c r="C305" s="53" t="str">
        <f>IF(Contents!$B$2=2,"RR th.","тыс. руб.")</f>
        <v>тыс. руб.</v>
      </c>
      <c r="D305" s="46">
        <v>263600</v>
      </c>
      <c r="E305" s="46">
        <v>955400</v>
      </c>
      <c r="F305" s="46">
        <v>1025800</v>
      </c>
      <c r="G305" s="104">
        <v>738000</v>
      </c>
      <c r="H305" s="38"/>
      <c r="I305" s="774" t="str">
        <f>IF(Contents!$B$2=2,"PBCS 84","СОКБ 84")</f>
        <v>СОКБ 84</v>
      </c>
      <c r="K305" s="558">
        <v>2</v>
      </c>
      <c r="M305" s="595"/>
      <c r="N305" s="595"/>
      <c r="O305" s="22"/>
    </row>
    <row r="306" spans="2:15">
      <c r="B306" s="87" t="str">
        <f>IF(Contents!$B$2=2,"Expenses on improving employee housing conditions","Расходы на улучшение жилищных условий работников")</f>
        <v>Расходы на улучшение жилищных условий работников</v>
      </c>
      <c r="C306" s="53" t="str">
        <f>IF(Contents!$B$2=2,"RR th.","тыс. руб.")</f>
        <v>тыс. руб.</v>
      </c>
      <c r="D306" s="46">
        <v>263600</v>
      </c>
      <c r="E306" s="46">
        <v>955400</v>
      </c>
      <c r="F306" s="46">
        <v>1025800</v>
      </c>
      <c r="G306" s="104">
        <v>738000</v>
      </c>
      <c r="H306" s="38"/>
      <c r="I306" s="774" t="str">
        <f>IF(Contents!$B$2=2,"PBCS 84","СОКБ 84")</f>
        <v>СОКБ 84</v>
      </c>
      <c r="K306" s="558">
        <v>2</v>
      </c>
      <c r="M306" s="595"/>
      <c r="N306" s="595"/>
      <c r="O306" s="22"/>
    </row>
    <row r="307" spans="2:15">
      <c r="B307" s="87" t="str">
        <f>IF(Contents!$B$2=2,"Expenses on improving housing conditions of local community members","Расходы на улучшение жилищных условий представителей местных сообществ")</f>
        <v>Расходы на улучшение жилищных условий представителей местных сообществ</v>
      </c>
      <c r="C307" s="53" t="str">
        <f>IF(Contents!$B$2=2,"RR th.","тыс. руб.")</f>
        <v>тыс. руб.</v>
      </c>
      <c r="D307" s="91" t="s">
        <v>185</v>
      </c>
      <c r="E307" s="91" t="s">
        <v>185</v>
      </c>
      <c r="F307" s="91" t="s">
        <v>185</v>
      </c>
      <c r="G307" s="793" t="s">
        <v>185</v>
      </c>
      <c r="H307" s="38"/>
      <c r="I307" s="774" t="str">
        <f>IF(Contents!$B$2=2,"PBCS 84","СОКБ 84")</f>
        <v>СОКБ 84</v>
      </c>
      <c r="K307" s="558"/>
      <c r="M307" s="595"/>
      <c r="N307" s="595"/>
      <c r="O307" s="22"/>
    </row>
    <row r="308" spans="2:15" ht="36">
      <c r="B308" s="52" t="str">
        <f>IF(Contents!$B$2=2,"Ratio of Expenses on improving housing conditions of employees and local community members to revenue","Отношение расходов на улучшение жилищных условий работников и представителей местных сообществ к выручке")</f>
        <v>Отношение расходов на улучшение жилищных условий работников и представителей местных сообществ к выручке</v>
      </c>
      <c r="C308" s="53" t="s">
        <v>0</v>
      </c>
      <c r="D308" s="107" t="s">
        <v>185</v>
      </c>
      <c r="E308" s="799">
        <v>6.9661000000000001E-2</v>
      </c>
      <c r="F308" s="799">
        <v>6.6358E-2</v>
      </c>
      <c r="G308" s="901">
        <v>5.1052E-2</v>
      </c>
      <c r="H308" s="38"/>
      <c r="I308" s="774" t="str">
        <f>IF(Contents!$B$2=2,"PBCS 84","СОКБ 84")</f>
        <v>СОКБ 84</v>
      </c>
      <c r="K308" s="558">
        <v>2</v>
      </c>
      <c r="M308" s="595"/>
      <c r="N308" s="595"/>
      <c r="O308" s="22"/>
    </row>
    <row r="309" spans="2:15">
      <c r="B309" s="87" t="str">
        <f>IF(Contents!$B$2=2,"Ratio of Expenses on improving employee housing conditions to revenue","Отношение расходов на улучшение жилищных условий работников к  выручке")</f>
        <v>Отношение расходов на улучшение жилищных условий работников к  выручке</v>
      </c>
      <c r="C309" s="53" t="s">
        <v>0</v>
      </c>
      <c r="D309" s="107" t="s">
        <v>185</v>
      </c>
      <c r="E309" s="799">
        <v>6.9661000000000001E-2</v>
      </c>
      <c r="F309" s="799">
        <v>6.6358E-2</v>
      </c>
      <c r="G309" s="901">
        <v>5.1052E-2</v>
      </c>
      <c r="H309" s="38"/>
      <c r="I309" s="774" t="str">
        <f>IF(Contents!$B$2=2,"PBCS 84","СОКБ 84")</f>
        <v>СОКБ 84</v>
      </c>
      <c r="K309" s="558">
        <v>2</v>
      </c>
      <c r="M309" s="595"/>
      <c r="N309" s="595"/>
      <c r="O309" s="22"/>
    </row>
    <row r="310" spans="2:15">
      <c r="B310" s="87"/>
      <c r="C310" s="53"/>
      <c r="D310" s="46"/>
      <c r="E310" s="46"/>
      <c r="F310" s="46"/>
      <c r="G310" s="46"/>
      <c r="H310" s="38"/>
      <c r="I310" s="774"/>
      <c r="K310" s="558"/>
      <c r="M310" s="595"/>
      <c r="N310" s="595"/>
      <c r="O310" s="22"/>
    </row>
    <row r="311" spans="2:15">
      <c r="B311" s="25" t="str">
        <f>IF(Contents!$B$2=2,"Notes:","Примечания:")</f>
        <v>Примечания:</v>
      </c>
      <c r="C311" s="61"/>
      <c r="D311" s="46"/>
      <c r="E311" s="46"/>
      <c r="F311" s="46"/>
      <c r="G311" s="46"/>
      <c r="H311" s="38"/>
      <c r="I311" s="774"/>
      <c r="K311" s="558"/>
      <c r="M311" s="595"/>
      <c r="N311" s="595"/>
      <c r="O311" s="22"/>
    </row>
    <row r="312" spans="2:15">
      <c r="B312" s="26" t="str">
        <f>IF(Contents!$B$2=2,C313, B313)</f>
        <v>В расчеты включены расходы по Программе предоставления беспроцентных целевых займов на покупку жилья.</v>
      </c>
      <c r="C312" s="61"/>
      <c r="D312" s="46"/>
      <c r="E312" s="46"/>
      <c r="F312" s="46"/>
      <c r="G312" s="46"/>
      <c r="H312" s="38"/>
      <c r="I312" s="774"/>
      <c r="K312" s="558"/>
      <c r="M312" s="595"/>
      <c r="N312" s="595"/>
      <c r="O312" s="22"/>
    </row>
    <row r="313" spans="2:15">
      <c r="B313" s="113" t="s">
        <v>47</v>
      </c>
      <c r="C313" s="775" t="s">
        <v>48</v>
      </c>
      <c r="D313" s="91"/>
      <c r="E313" s="91"/>
      <c r="F313" s="91"/>
      <c r="G313" s="91"/>
      <c r="H313" s="38"/>
      <c r="I313" s="39"/>
      <c r="K313" s="558"/>
      <c r="M313" s="595"/>
      <c r="N313" s="595"/>
      <c r="O313" s="22"/>
    </row>
    <row r="314" spans="2:15" ht="36">
      <c r="B314" s="48" t="str">
        <f>IF(Contents!$B$2=2,"Urban improvement and integrated development of cities and other settlements","Повышение благоустройства и комплексное развитие городов и других населенных пунктов")</f>
        <v>Повышение благоустройства и комплексное развитие городов и других населенных пунктов</v>
      </c>
      <c r="C314" s="49"/>
      <c r="D314" s="50"/>
      <c r="E314" s="50"/>
      <c r="F314" s="51"/>
      <c r="G314" s="51"/>
      <c r="H314" s="38"/>
      <c r="I314" s="39"/>
      <c r="K314" s="558"/>
      <c r="M314" s="595"/>
      <c r="N314" s="595"/>
      <c r="O314" s="22"/>
    </row>
    <row r="315" spans="2:15" ht="36">
      <c r="B315" s="52" t="str">
        <f>IF(Contents!$B$2=2,"Expenses on urban improvement and integrated development of cities and other settlements","Расходы на повышение благоустройства и комплексное развитие городов и других населенных пунктов")</f>
        <v>Расходы на повышение благоустройства и комплексное развитие городов и других населенных пунктов</v>
      </c>
      <c r="C315" s="53" t="str">
        <f>IF(Contents!$B$2=2,"RR th.","тыс. руб.")</f>
        <v>тыс. руб.</v>
      </c>
      <c r="D315" s="90" t="s">
        <v>185</v>
      </c>
      <c r="E315" s="46">
        <v>2165258</v>
      </c>
      <c r="F315" s="46">
        <v>1516625</v>
      </c>
      <c r="G315" s="104">
        <v>1461300</v>
      </c>
      <c r="H315" s="38"/>
      <c r="I315" s="774" t="str">
        <f>IF(Contents!$B$2=2,"PBCS 85","СОКБ 85")</f>
        <v>СОКБ 85</v>
      </c>
      <c r="K315" s="56">
        <v>2</v>
      </c>
      <c r="M315" s="595"/>
      <c r="N315" s="595"/>
      <c r="O315" s="22"/>
    </row>
    <row r="316" spans="2:15" ht="36">
      <c r="B316" s="52" t="str">
        <f>IF(Contents!$B$2=2,"Ratio of Expenses on urban improvement and integrated development of cities and other settlements to revenue","Отношение расходов на повышение благоустройства и комплексное развитие городов и других населенных пунктов к выручке")</f>
        <v>Отношение расходов на повышение благоустройства и комплексное развитие городов и других населенных пунктов к выручке</v>
      </c>
      <c r="C316" s="53" t="s">
        <v>0</v>
      </c>
      <c r="D316" s="96" t="s">
        <v>185</v>
      </c>
      <c r="E316" s="776">
        <v>0.15787399999999999</v>
      </c>
      <c r="F316" s="867">
        <v>9.8109000000000002E-2</v>
      </c>
      <c r="G316" s="787">
        <v>0.101087</v>
      </c>
      <c r="H316" s="38"/>
      <c r="I316" s="774" t="str">
        <f>IF(Contents!$B$2=2,"PBCS 85","СОКБ 85")</f>
        <v>СОКБ 85</v>
      </c>
      <c r="K316" s="56">
        <v>2</v>
      </c>
      <c r="M316" s="595"/>
      <c r="N316" s="595"/>
      <c r="O316" s="22"/>
    </row>
    <row r="317" spans="2:15">
      <c r="B317" s="52"/>
      <c r="C317" s="53"/>
      <c r="D317" s="91"/>
      <c r="E317" s="91"/>
      <c r="F317" s="91"/>
      <c r="G317" s="91"/>
      <c r="H317" s="38"/>
      <c r="I317" s="39"/>
      <c r="K317" s="558"/>
      <c r="M317" s="595"/>
      <c r="N317" s="595"/>
      <c r="O317" s="22"/>
    </row>
    <row r="318" spans="2:15">
      <c r="B318" s="25" t="str">
        <f>IF(Contents!$B$2=2,"Notes:","Примечания:")</f>
        <v>Примечания:</v>
      </c>
      <c r="C318" s="53"/>
      <c r="D318" s="91"/>
      <c r="E318" s="91"/>
      <c r="F318" s="91"/>
      <c r="G318" s="91"/>
      <c r="H318" s="38"/>
      <c r="I318" s="39"/>
      <c r="K318" s="558"/>
      <c r="M318" s="595"/>
      <c r="N318" s="595"/>
      <c r="O318" s="22"/>
    </row>
    <row r="319" spans="2:15">
      <c r="B319" s="26" t="str">
        <f>IF(Contents!$B$2=2,C320, B320)</f>
        <v>В расчеты включены расходы на работы по строительству и материально-техническому оснащению объектов социальной инфраструктуры.</v>
      </c>
      <c r="C319" s="53"/>
      <c r="D319" s="91"/>
      <c r="E319" s="91"/>
      <c r="F319" s="91"/>
      <c r="G319" s="91"/>
      <c r="H319" s="38"/>
      <c r="I319" s="39"/>
      <c r="K319" s="558"/>
      <c r="M319" s="595"/>
      <c r="N319" s="595"/>
      <c r="O319" s="22"/>
    </row>
    <row r="320" spans="2:15">
      <c r="B320" s="115" t="s">
        <v>26</v>
      </c>
      <c r="C320" s="115" t="s">
        <v>32</v>
      </c>
      <c r="D320" s="91"/>
      <c r="E320" s="91"/>
      <c r="F320" s="91"/>
      <c r="G320" s="91"/>
      <c r="H320" s="38"/>
      <c r="I320" s="39"/>
      <c r="K320" s="558"/>
      <c r="M320" s="595"/>
      <c r="N320" s="595"/>
      <c r="O320" s="22"/>
    </row>
    <row r="321" spans="2:15">
      <c r="B321" s="45" t="str">
        <f>IF(Contents!$B$2=2,"Environmental well-being","Экологическое благополучие")</f>
        <v>Экологическое благополучие</v>
      </c>
      <c r="C321" s="45"/>
      <c r="D321" s="719"/>
      <c r="E321" s="719"/>
      <c r="F321" s="719"/>
      <c r="G321" s="719"/>
      <c r="H321" s="29"/>
      <c r="I321" s="39"/>
      <c r="K321" s="558"/>
      <c r="M321" s="595"/>
      <c r="N321" s="595"/>
      <c r="O321" s="22"/>
    </row>
    <row r="322" spans="2:15">
      <c r="B322" s="52" t="str">
        <f>IF(Contents!$B$2=2,"Expenses on implementation of activities related to environmental protection","Расходы на реализацию мероприятий, связанных с охраной окружающей среды")</f>
        <v>Расходы на реализацию мероприятий, связанных с охраной окружающей среды</v>
      </c>
      <c r="C322" s="53" t="str">
        <f>IF(Contents!$B$2=2,"RR th.","тыс. руб.")</f>
        <v>тыс. руб.</v>
      </c>
      <c r="D322" s="91">
        <v>2570495</v>
      </c>
      <c r="E322" s="91">
        <v>3088228</v>
      </c>
      <c r="F322" s="91">
        <v>3428809</v>
      </c>
      <c r="G322" s="793">
        <v>3277126.3</v>
      </c>
      <c r="H322" s="38"/>
      <c r="I322" s="56" t="str">
        <f>IF(Contents!$B$2=2,"PBCS 11","СОКБ 10")</f>
        <v>СОКБ 10</v>
      </c>
      <c r="K322" s="277">
        <v>2</v>
      </c>
      <c r="L322" s="297"/>
      <c r="M322" s="589"/>
      <c r="N322" s="589"/>
    </row>
    <row r="323" spans="2:15" ht="36">
      <c r="B323" s="52" t="str">
        <f>IF(Contents!$B$2=2,"Ratio of Expenses on implementation of activities related to environmental protection to revenue","Отношение расходов на реализацию мероприятий, связанных с охраной окружающей среды, к выручке")</f>
        <v>Отношение расходов на реализацию мероприятий, связанных с охраной окружающей среды, к выручке</v>
      </c>
      <c r="C323" s="53" t="s">
        <v>0</v>
      </c>
      <c r="D323" s="110" t="s">
        <v>185</v>
      </c>
      <c r="E323" s="811">
        <v>0.22517000000000001</v>
      </c>
      <c r="F323" s="811">
        <v>0.221807</v>
      </c>
      <c r="G323" s="901">
        <v>0.22669800000000001</v>
      </c>
      <c r="H323" s="38"/>
      <c r="I323" s="774" t="str">
        <f>IF(Contents!$B$2=2,"PBCS 87","СОКБ 87")</f>
        <v>СОКБ 87</v>
      </c>
      <c r="K323" s="277">
        <v>2</v>
      </c>
      <c r="L323" s="297"/>
      <c r="M323" s="589"/>
      <c r="N323" s="589"/>
    </row>
    <row r="324" spans="2:15">
      <c r="B324" s="52"/>
      <c r="C324" s="53"/>
      <c r="D324" s="91"/>
      <c r="E324" s="91"/>
      <c r="F324" s="91"/>
      <c r="G324" s="91"/>
      <c r="H324" s="38"/>
      <c r="I324" s="39"/>
      <c r="K324" s="558"/>
      <c r="M324" s="589"/>
      <c r="N324" s="589"/>
    </row>
    <row r="325" spans="2:15">
      <c r="B325" s="45" t="str">
        <f>IF(Contents!$B$2=2,"Sustainable and dynamic economy","Устойчивая и динамичная экономика")</f>
        <v>Устойчивая и динамичная экономика</v>
      </c>
      <c r="C325" s="45"/>
      <c r="D325" s="719"/>
      <c r="E325" s="719"/>
      <c r="F325" s="719"/>
      <c r="G325" s="719"/>
      <c r="H325" s="38"/>
      <c r="I325" s="39"/>
      <c r="K325" s="558"/>
      <c r="M325" s="589"/>
      <c r="N325" s="589"/>
    </row>
    <row r="326" spans="2:15" ht="36">
      <c r="B326" s="48" t="str">
        <f>IF(Contents!$B$2=2,"Corporate non-state pension and long-term savings programs","Корпоративные программы негосударственного пенсионного обеспечения и долгосрочных сбережений")</f>
        <v>Корпоративные программы негосударственного пенсионного обеспечения и долгосрочных сбережений</v>
      </c>
      <c r="C326" s="49"/>
      <c r="D326" s="50"/>
      <c r="E326" s="50"/>
      <c r="F326" s="50"/>
      <c r="G326" s="50"/>
      <c r="H326" s="38"/>
      <c r="I326" s="39"/>
      <c r="K326" s="558"/>
      <c r="M326" s="589"/>
      <c r="N326" s="589"/>
    </row>
    <row r="327" spans="2:15" ht="36">
      <c r="B327" s="52" t="str">
        <f>IF(Contents!$B$2=2,"Expenses on corporate programs of non-state pension provision and/or long-term savings programs","Расходы на корпоративные программы негосударственного пенсионного обеспечения и (или) долгосрочных сбережений")</f>
        <v>Расходы на корпоративные программы негосударственного пенсионного обеспечения и (или) долгосрочных сбережений</v>
      </c>
      <c r="C327" s="53" t="str">
        <f>IF(Contents!$B$2=2,"RR th.","тыс. руб.")</f>
        <v>тыс. руб.</v>
      </c>
      <c r="D327" s="107">
        <v>159100</v>
      </c>
      <c r="E327" s="107">
        <v>214300</v>
      </c>
      <c r="F327" s="107">
        <v>243200</v>
      </c>
      <c r="G327" s="793">
        <v>292000</v>
      </c>
      <c r="H327" s="38"/>
      <c r="I327" s="774" t="str">
        <f>IF(Contents!$B$2=2,"PBCS 88","СОКБ 88")</f>
        <v>СОКБ 88</v>
      </c>
      <c r="K327" s="558">
        <v>2</v>
      </c>
      <c r="M327" s="589"/>
      <c r="N327" s="589"/>
    </row>
    <row r="328" spans="2:15">
      <c r="B328"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328" s="53" t="str">
        <f>IF(Contents!$B$2=2,"RR th.","тыс. руб.")</f>
        <v>тыс. руб.</v>
      </c>
      <c r="D328" s="812" t="s">
        <v>185</v>
      </c>
      <c r="E328" s="812" t="s">
        <v>185</v>
      </c>
      <c r="F328" s="812" t="s">
        <v>185</v>
      </c>
      <c r="G328" s="913">
        <v>13</v>
      </c>
      <c r="I328" s="774" t="str">
        <f>IF(Contents!$B$2=2,"PBCS 88","СОКБ 88")</f>
        <v>СОКБ 88</v>
      </c>
      <c r="K328" s="56">
        <v>2</v>
      </c>
      <c r="M328" s="589"/>
      <c r="N328" s="589"/>
    </row>
    <row r="329" spans="2:15" ht="36">
      <c r="B329" s="52" t="str">
        <f>IF(Contents!$B$2=2,"Ratio of Expenses on corporate programs of non-state pension provision and/or long-term savings programs to revenue","Отношение расходов на корпоративные программы негосударственного пенсионного обеспечения и (или) долгосрочных сбережений к выручке")</f>
        <v>Отношение расходов на корпоративные программы негосударственного пенсионного обеспечения и (или) долгосрочных сбережений к выручке</v>
      </c>
      <c r="C329" s="53" t="s">
        <v>7</v>
      </c>
      <c r="D329" s="812" t="s">
        <v>185</v>
      </c>
      <c r="E329" s="811">
        <v>1.5625E-2</v>
      </c>
      <c r="F329" s="811">
        <v>1.5731999999999999E-2</v>
      </c>
      <c r="G329" s="917">
        <v>2.0199000000000002E-2</v>
      </c>
      <c r="H329" s="38"/>
      <c r="I329" s="774" t="str">
        <f>IF(Contents!$B$2=2,"PBCS 88","СОКБ 88")</f>
        <v>СОКБ 88</v>
      </c>
      <c r="K329" s="558">
        <v>2</v>
      </c>
      <c r="M329" s="589"/>
      <c r="N329" s="589"/>
    </row>
    <row r="330" spans="2:15">
      <c r="B330" s="52"/>
      <c r="C330" s="53"/>
      <c r="D330" s="91"/>
      <c r="E330" s="91"/>
      <c r="F330" s="91"/>
      <c r="G330" s="91"/>
      <c r="H330" s="38"/>
      <c r="I330" s="39"/>
      <c r="K330" s="558"/>
      <c r="M330" s="589"/>
      <c r="N330" s="589"/>
    </row>
    <row r="331" spans="2:15">
      <c r="B331" s="48" t="str">
        <f>IF(Contents!$B$2=2,"Enhancing the tourism appeal of the Russian Federation territory","Повышение туристической привлекательности территории РФ")</f>
        <v>Повышение туристической привлекательности территории РФ</v>
      </c>
      <c r="C331" s="49"/>
      <c r="D331" s="50"/>
      <c r="E331" s="50"/>
      <c r="F331" s="50"/>
      <c r="G331" s="50"/>
      <c r="H331" s="38"/>
      <c r="I331" s="39"/>
      <c r="K331" s="558"/>
      <c r="M331" s="589"/>
      <c r="N331" s="589"/>
    </row>
    <row r="332" spans="2:15" ht="36">
      <c r="B332" s="52" t="str">
        <f>IF(Contents!$B$2=2,"Expenses on projects to enhance the tourism appeal of the Russian Federation territory","Расходы на проекты по повышению туристической привлекательности территории РФ")</f>
        <v>Расходы на проекты по повышению туристической привлекательности территории РФ</v>
      </c>
      <c r="C332" s="53" t="str">
        <f>IF(Contents!$B$2=2,"RR th.","тыс. руб.")</f>
        <v>тыс. руб.</v>
      </c>
      <c r="D332" s="809" t="s">
        <v>185</v>
      </c>
      <c r="E332" s="96">
        <v>510</v>
      </c>
      <c r="F332" s="96">
        <v>10200</v>
      </c>
      <c r="G332" s="793">
        <v>11500</v>
      </c>
      <c r="H332" s="38"/>
      <c r="I332" s="774" t="str">
        <f>IF(Contents!$B$2=2,"PBCS 89","СОКБ 89")</f>
        <v>СОКБ 89</v>
      </c>
      <c r="K332" s="56">
        <v>2</v>
      </c>
      <c r="M332" s="589"/>
      <c r="N332" s="589"/>
    </row>
    <row r="333" spans="2:15">
      <c r="B333" s="52" t="str">
        <f>IF(Contents!$B$2=2,"Ratio of Expenses on the domestic tourism development to revenue","Отношение расходов на развитие внутреннего туризма к выручке")</f>
        <v>Отношение расходов на развитие внутреннего туризма к выручке</v>
      </c>
      <c r="C333" s="53" t="s">
        <v>7</v>
      </c>
      <c r="D333" s="809" t="s">
        <v>185</v>
      </c>
      <c r="E333" s="815">
        <v>3.6999999999999998E-5</v>
      </c>
      <c r="F333" s="814">
        <v>6.6E-4</v>
      </c>
      <c r="G333" s="918">
        <v>7.9600000000000005E-4</v>
      </c>
      <c r="H333" s="38"/>
      <c r="I333" s="774" t="str">
        <f>IF(Contents!$B$2=2,"PBCS 89","СОКБ 89")</f>
        <v>СОКБ 89</v>
      </c>
      <c r="K333" s="56">
        <v>2</v>
      </c>
      <c r="M333" s="589"/>
      <c r="N333" s="589"/>
    </row>
    <row r="334" spans="2:15">
      <c r="B334" s="52"/>
      <c r="C334" s="53"/>
      <c r="D334" s="91"/>
      <c r="E334" s="91"/>
      <c r="F334" s="91"/>
      <c r="G334" s="91"/>
      <c r="H334" s="38"/>
      <c r="I334" s="39"/>
      <c r="K334" s="558"/>
      <c r="M334" s="589"/>
      <c r="N334" s="589"/>
    </row>
    <row r="335" spans="2:15">
      <c r="B335" s="25" t="str">
        <f>IF(Contents!$B$2=2,"Notes:","Примечания:")</f>
        <v>Примечания:</v>
      </c>
      <c r="C335" s="61"/>
      <c r="D335" s="108"/>
      <c r="E335" s="108"/>
      <c r="F335" s="108"/>
      <c r="G335" s="108"/>
      <c r="H335" s="38"/>
      <c r="I335" s="39"/>
      <c r="K335" s="558"/>
      <c r="M335" s="589"/>
      <c r="N335" s="589"/>
    </row>
    <row r="336" spans="2:15">
      <c r="B336" s="26" t="str">
        <f>IF(Contents!$B$2=2,C337, B337)</f>
        <v>В расчеты включены расходы по подготовке новой трассы и проведение лыжного марафона в поселке Токсово.</v>
      </c>
      <c r="C336" s="61"/>
      <c r="D336" s="108"/>
      <c r="E336" s="108"/>
      <c r="F336" s="108"/>
      <c r="G336" s="108"/>
      <c r="H336" s="38"/>
      <c r="I336" s="39"/>
      <c r="K336" s="558"/>
      <c r="M336" s="589"/>
      <c r="N336" s="589"/>
    </row>
    <row r="337" spans="2:26">
      <c r="B337" s="113" t="s">
        <v>235</v>
      </c>
      <c r="C337" s="775" t="s">
        <v>236</v>
      </c>
      <c r="D337" s="108"/>
      <c r="E337" s="108"/>
      <c r="F337" s="109"/>
      <c r="G337" s="109"/>
      <c r="H337" s="38"/>
      <c r="I337" s="39"/>
      <c r="K337" s="558"/>
      <c r="M337" s="589"/>
      <c r="N337" s="589"/>
    </row>
    <row r="338" spans="2:26">
      <c r="B338" s="45" t="str">
        <f>IF(Contents!$B$2=2,"Technological leadership","Технологическое лидерство")</f>
        <v>Технологическое лидерство</v>
      </c>
      <c r="C338" s="45"/>
      <c r="D338" s="719"/>
      <c r="E338" s="719"/>
      <c r="F338" s="719"/>
      <c r="G338" s="719"/>
      <c r="H338" s="38"/>
      <c r="I338" s="39"/>
      <c r="K338" s="558"/>
      <c r="M338" s="589"/>
      <c r="N338" s="589"/>
    </row>
    <row r="339" spans="2:26" ht="54">
      <c r="B339" s="52" t="str">
        <f>IF(Contents!$B$2=2,Q339,P339)</f>
        <v>Отношение инвестиций в проекты, связанные с достижением технологического суверенитета и структурной адаптацией экономики Российской Федерации, к выручке</v>
      </c>
      <c r="C339" s="53" t="s">
        <v>0</v>
      </c>
      <c r="D339" s="102" t="s">
        <v>185</v>
      </c>
      <c r="E339" s="808">
        <v>1.029E-3</v>
      </c>
      <c r="F339" s="808">
        <v>2.4800000000000001E-4</v>
      </c>
      <c r="G339" s="916">
        <v>1.94E-4</v>
      </c>
      <c r="H339" s="29"/>
      <c r="I339" s="56" t="str">
        <f>IF(Contents!$B$2=2,"PBCS 90","СОКБ 90")</f>
        <v>СОКБ 90</v>
      </c>
      <c r="K339" s="558">
        <v>2</v>
      </c>
      <c r="M339" s="22"/>
      <c r="P339" s="117" t="s">
        <v>220</v>
      </c>
      <c r="Q339" s="117" t="s">
        <v>221</v>
      </c>
      <c r="R339" s="117"/>
    </row>
    <row r="340" spans="2:26" ht="36">
      <c r="B340" s="52" t="str">
        <f>IF(Contents!$B$2=2,"Expenses on the research and development activities","Общие расходы на научные исследования и (или) опытно-конструкторские разработки")</f>
        <v>Общие расходы на научные исследования и (или) опытно-конструкторские разработки</v>
      </c>
      <c r="C340" s="53" t="str">
        <f>IF(Contents!$B$2=2,"RR th.","тыс. руб.")</f>
        <v>тыс. руб.</v>
      </c>
      <c r="D340" s="102">
        <v>585292</v>
      </c>
      <c r="E340" s="102">
        <v>808775</v>
      </c>
      <c r="F340" s="102">
        <v>805248</v>
      </c>
      <c r="G340" s="907">
        <v>835078</v>
      </c>
      <c r="H340" s="38"/>
      <c r="I340" s="56" t="str">
        <f>IF(Contents!$B$2=2,"PBCS 91","СОКБ 91")</f>
        <v>СОКБ 91</v>
      </c>
      <c r="K340" s="56">
        <v>2</v>
      </c>
      <c r="M340" s="595"/>
      <c r="N340" s="595"/>
      <c r="O340" s="22"/>
    </row>
    <row r="341" spans="2:26" ht="36">
      <c r="B341" s="52" t="str">
        <f>IF(Contents!$B$2=2,"Ratio of research and/or development expenses to revenue","Отношение расходов организации на научные исследования и (или) опытно-конструкторские разработки к выручке")</f>
        <v>Отношение расходов организации на научные исследования и (или) опытно-конструкторские разработки к выручке</v>
      </c>
      <c r="C341" s="53" t="s">
        <v>0</v>
      </c>
      <c r="D341" s="809" t="s">
        <v>185</v>
      </c>
      <c r="E341" s="809" t="s">
        <v>185</v>
      </c>
      <c r="F341" s="811">
        <v>5.2090999999999998E-2</v>
      </c>
      <c r="G341" s="917">
        <v>5.7766999999999999E-2</v>
      </c>
      <c r="H341" s="38"/>
      <c r="I341" s="56" t="str">
        <f>IF(Contents!$B$2=2,"PBCS 91","СОКБ 91")</f>
        <v>СОКБ 91</v>
      </c>
      <c r="K341" s="558">
        <v>2</v>
      </c>
      <c r="M341" s="589"/>
      <c r="N341" s="589"/>
    </row>
    <row r="342" spans="2:26">
      <c r="B342" s="113"/>
      <c r="C342" s="775"/>
      <c r="D342" s="108"/>
      <c r="E342" s="108"/>
      <c r="F342" s="108"/>
      <c r="G342" s="108"/>
      <c r="H342" s="38"/>
      <c r="I342" s="39"/>
      <c r="K342" s="558"/>
      <c r="M342" s="589"/>
      <c r="N342" s="589"/>
    </row>
    <row r="343" spans="2:26">
      <c r="B343" s="25" t="str">
        <f>IF(Contents!$B$2=2,"Notes:","Примечания:")</f>
        <v>Примечания:</v>
      </c>
      <c r="C343" s="53"/>
      <c r="D343" s="102"/>
      <c r="E343" s="102"/>
      <c r="F343" s="102"/>
      <c r="G343" s="102"/>
      <c r="H343" s="29"/>
      <c r="I343" s="56"/>
      <c r="K343" s="558"/>
      <c r="M343" s="22"/>
    </row>
    <row r="344" spans="2:26" s="43" customFormat="1">
      <c r="B344" s="26" t="str">
        <f>IF(Contents!$B$2=2, Y344, Z344)</f>
        <v>В Отчете за 2025 год произведен пересчет показателя общих расходов на научные исследования и (или) опытно-конструкторские разработки за 2023 и 2024 годы пропорционально доле владения Группы в совместных предприятиях. Подробнее см. в Приложении 4, показатель GRI 2-4.</v>
      </c>
      <c r="C344" s="252"/>
      <c r="D344" s="579"/>
      <c r="E344" s="579"/>
      <c r="F344" s="579"/>
      <c r="G344" s="579"/>
      <c r="H344" s="579"/>
      <c r="I344" s="802"/>
      <c r="J344" s="579"/>
      <c r="K344" s="579"/>
      <c r="L344" s="579"/>
      <c r="M344" s="579"/>
      <c r="N344" s="579"/>
      <c r="P344" s="804"/>
      <c r="Q344" s="805"/>
      <c r="R344" s="805"/>
      <c r="S344" s="805"/>
      <c r="T344" s="805"/>
      <c r="U344" s="805"/>
      <c r="V344" s="805"/>
      <c r="W344" s="805"/>
      <c r="X344" s="606"/>
      <c r="Y344" s="226" t="s">
        <v>247</v>
      </c>
      <c r="Z344" s="226" t="s">
        <v>248</v>
      </c>
    </row>
    <row r="345" spans="2:26" s="43" customFormat="1">
      <c r="B345" s="26"/>
      <c r="C345" s="252"/>
      <c r="D345" s="579"/>
      <c r="E345" s="579"/>
      <c r="F345" s="579"/>
      <c r="G345" s="579"/>
      <c r="H345" s="579"/>
      <c r="I345" s="802"/>
      <c r="J345" s="579"/>
      <c r="K345" s="579"/>
      <c r="L345" s="579"/>
      <c r="M345" s="579"/>
      <c r="N345" s="579"/>
      <c r="P345" s="804"/>
      <c r="Q345" s="805"/>
      <c r="R345" s="805"/>
      <c r="S345" s="805"/>
      <c r="T345" s="805"/>
      <c r="U345" s="805"/>
      <c r="V345" s="805"/>
      <c r="W345" s="805"/>
      <c r="X345" s="606"/>
      <c r="Y345" s="226"/>
      <c r="Z345" s="226"/>
    </row>
    <row r="346" spans="2:26">
      <c r="B346" s="45" t="str">
        <f>IF(Contents!$B$2=2,"Digital transformation of state and municipal governance, economy and social sphere","Цифровая трансформация государственного и муниципального управления, экономики и социальной сферы")</f>
        <v>Цифровая трансформация государственного и муниципального управления, экономики и социальной сферы</v>
      </c>
      <c r="C346" s="45"/>
      <c r="D346" s="719"/>
      <c r="E346" s="719"/>
      <c r="F346" s="719"/>
      <c r="G346" s="719"/>
      <c r="H346" s="38"/>
      <c r="I346" s="39"/>
      <c r="K346" s="558"/>
      <c r="M346" s="589"/>
      <c r="N346" s="589"/>
    </row>
    <row r="347" spans="2:26" ht="72">
      <c r="B347" s="52" t="str">
        <f>IF(Contents!$B$2=2,"Expenses on projects for the development and implementation of Russian IT solutions, including solutions related to data storage and processing, aimed at import substitution, including those implemented by start-ups","Расходы на проекты по разработке и внедрению российских решений в сфере информационных технологий, включая решения, связанные с хранением и обработкой данных, направленных на импортозамещение, в том числе реализуемые стартапами")</f>
        <v>Расходы на проекты по разработке и внедрению российских решений в сфере информационных технологий, включая решения, связанные с хранением и обработкой данных, направленных на импортозамещение, в том числе реализуемые стартапами</v>
      </c>
      <c r="C347" s="53" t="str">
        <f>IF(Contents!$B$2=2,"RR th.","тыс. руб.")</f>
        <v>тыс. руб.</v>
      </c>
      <c r="D347" s="809" t="s">
        <v>185</v>
      </c>
      <c r="E347" s="809" t="s">
        <v>185</v>
      </c>
      <c r="F347" s="96">
        <v>1400000</v>
      </c>
      <c r="G347" s="915" t="s">
        <v>185</v>
      </c>
      <c r="H347" s="38"/>
      <c r="I347" s="774" t="str">
        <f>IF(Contents!$B$2=2,"PBCS 92","СОКБ 92")</f>
        <v>СОКБ 92</v>
      </c>
      <c r="K347" s="558">
        <v>1</v>
      </c>
      <c r="M347" s="589"/>
      <c r="N347" s="589"/>
    </row>
    <row r="348" spans="2:26" ht="54">
      <c r="B348" s="52" t="str">
        <f>IF(Contents!$B$2=2,"Ratio of Expenses on projects for the development and implementation of Russian IT solutions, aimed at import substitution, to revenue","Отношение расходов организации на проекты по разработке и внедрению российских решений в сфере информационных технологий, направленных на импортозамещение, в том числе реализуемые стартапами, к выручке")</f>
        <v>Отношение расходов организации на проекты по разработке и внедрению российских решений в сфере информационных технологий, направленных на импортозамещение, в том числе реализуемые стартапами, к выручке</v>
      </c>
      <c r="C348" s="53" t="s">
        <v>0</v>
      </c>
      <c r="D348" s="809" t="s">
        <v>185</v>
      </c>
      <c r="E348" s="809" t="s">
        <v>185</v>
      </c>
      <c r="F348" s="811">
        <f>ROUND((F347/F355)*100, 6)</f>
        <v>9.0565000000000007E-2</v>
      </c>
      <c r="G348" s="915" t="s">
        <v>185</v>
      </c>
      <c r="H348" s="38"/>
      <c r="I348" s="774" t="str">
        <f>IF(Contents!$B$2=2,"PBCS 93","СОКБ 93")</f>
        <v>СОКБ 93</v>
      </c>
      <c r="K348" s="558">
        <v>1</v>
      </c>
      <c r="M348" s="589"/>
      <c r="N348" s="589"/>
    </row>
    <row r="349" spans="2:26">
      <c r="B349" s="52" t="str">
        <f>IF(Contents!$B$2=2,"Information security expenses of the organisation","Расходы организации на обеспечение информационной безопасности")</f>
        <v>Расходы организации на обеспечение информационной безопасности</v>
      </c>
      <c r="C349" s="53" t="str">
        <f>IF(Contents!$B$2=2,"RR th.","тыс. руб.")</f>
        <v>тыс. руб.</v>
      </c>
      <c r="D349" s="809" t="s">
        <v>185</v>
      </c>
      <c r="E349" s="809" t="s">
        <v>185</v>
      </c>
      <c r="F349" s="96">
        <v>1400000</v>
      </c>
      <c r="G349" s="915" t="s">
        <v>185</v>
      </c>
      <c r="H349" s="38"/>
      <c r="I349" s="774" t="str">
        <f>IF(Contents!$B$2=2,"PBCS 94","СОКБ 94")</f>
        <v>СОКБ 94</v>
      </c>
      <c r="K349" s="558">
        <v>1</v>
      </c>
      <c r="M349" s="589"/>
      <c r="N349" s="589"/>
    </row>
    <row r="350" spans="2:26" ht="36">
      <c r="B350" s="52" t="str">
        <f>IF(Contents!$B$2=2,"Ratio of the organisation’s information security expenses to revenue","Отношение расходов организации на обеспечение информационной безопасности к выручке")</f>
        <v>Отношение расходов организации на обеспечение информационной безопасности к выручке</v>
      </c>
      <c r="C350" s="53" t="s">
        <v>0</v>
      </c>
      <c r="D350" s="809" t="s">
        <v>185</v>
      </c>
      <c r="E350" s="809" t="s">
        <v>185</v>
      </c>
      <c r="F350" s="811">
        <f>ROUND((F349/F355)*100, 6)</f>
        <v>9.0565000000000007E-2</v>
      </c>
      <c r="G350" s="915" t="s">
        <v>185</v>
      </c>
      <c r="H350" s="38"/>
      <c r="I350" s="774" t="str">
        <f>IF(Contents!$B$2=2,"PBCS 94","СОКБ 94")</f>
        <v>СОКБ 94</v>
      </c>
      <c r="K350" s="558">
        <v>1</v>
      </c>
      <c r="M350" s="589"/>
      <c r="N350" s="589"/>
    </row>
    <row r="351" spans="2:26" ht="36">
      <c r="B351" s="52" t="str">
        <f>IF(Contents!$B$2=2,"Ratio of the organisation’s digital security expenses to the revenue","Отношение расходов организации на обеспечение цифровой безопасности к выручке")</f>
        <v>Отношение расходов организации на обеспечение цифровой безопасности к выручке</v>
      </c>
      <c r="C351" s="53" t="s">
        <v>0</v>
      </c>
      <c r="D351" s="809" t="s">
        <v>185</v>
      </c>
      <c r="E351" s="809" t="s">
        <v>185</v>
      </c>
      <c r="F351" s="809">
        <v>0.09</v>
      </c>
      <c r="G351" s="915" t="s">
        <v>185</v>
      </c>
      <c r="H351" s="38"/>
      <c r="I351" s="774" t="str">
        <f>IF(Contents!$B$2=2,"PBCS 95","СОКБ 95")</f>
        <v>СОКБ 95</v>
      </c>
      <c r="K351" s="558">
        <v>1</v>
      </c>
      <c r="M351" s="589"/>
      <c r="N351" s="589"/>
    </row>
    <row r="352" spans="2:26">
      <c r="B352" s="52"/>
      <c r="C352" s="53"/>
      <c r="D352" s="91"/>
      <c r="E352" s="91"/>
      <c r="F352" s="91"/>
      <c r="G352" s="91"/>
      <c r="H352" s="38"/>
      <c r="I352" s="39"/>
      <c r="K352" s="558"/>
      <c r="M352" s="589"/>
      <c r="N352" s="589"/>
    </row>
    <row r="353" spans="2:15">
      <c r="B353" s="52"/>
      <c r="C353" s="53"/>
      <c r="D353" s="91"/>
      <c r="E353" s="91"/>
      <c r="F353" s="91"/>
      <c r="G353" s="91"/>
      <c r="H353" s="38"/>
      <c r="I353" s="39"/>
      <c r="K353" s="558"/>
      <c r="M353" s="589"/>
      <c r="N353" s="589"/>
    </row>
    <row r="354" spans="2:15">
      <c r="B354" s="25" t="str">
        <f>IF(Contents!$B$2=2,"Notes:","Примечания:")</f>
        <v>Примечания:</v>
      </c>
      <c r="C354" s="61"/>
      <c r="D354" s="108"/>
      <c r="E354" s="108"/>
      <c r="F354" s="108"/>
      <c r="G354" s="108"/>
      <c r="H354" s="38"/>
      <c r="I354" s="39"/>
      <c r="K354" s="558"/>
      <c r="M354" s="589"/>
      <c r="N354" s="589"/>
    </row>
    <row r="355" spans="2:15">
      <c r="B355" s="65" t="str">
        <f>IF(Contents!$B$2=2,"Revenue","Выручка")</f>
        <v>Выручка</v>
      </c>
      <c r="C355" s="53" t="str">
        <f>IF(Contents!$B$2=2,"RR th.","тыс. руб.")</f>
        <v>тыс. руб.</v>
      </c>
      <c r="D355" s="110" t="s">
        <v>185</v>
      </c>
      <c r="E355" s="110">
        <v>1371508000</v>
      </c>
      <c r="F355" s="110">
        <v>1545851000</v>
      </c>
      <c r="G355" s="110">
        <v>1445593000</v>
      </c>
      <c r="H355" s="38"/>
      <c r="I355" s="39"/>
      <c r="K355" s="558"/>
      <c r="M355" s="595"/>
      <c r="N355" s="595"/>
      <c r="O355" s="22"/>
    </row>
    <row r="356" spans="2:15">
      <c r="B356" s="30"/>
      <c r="C356" s="31"/>
      <c r="D356" s="748"/>
      <c r="E356" s="748"/>
      <c r="F356" s="748"/>
      <c r="G356" s="748"/>
      <c r="H356" s="32"/>
      <c r="I356" s="592"/>
      <c r="J356" s="592"/>
      <c r="K356" s="592"/>
      <c r="L356" s="592"/>
      <c r="M356" s="592"/>
      <c r="N356" s="592"/>
      <c r="O356" s="32"/>
    </row>
    <row r="357" spans="2:15">
      <c r="B357" s="33"/>
      <c r="M357" s="589"/>
      <c r="N357" s="589"/>
    </row>
    <row r="358" spans="2:15">
      <c r="B358" s="141" t="str">
        <f>IF(Contents!$B$2=2,"For more information, see the Sustainable Development Reports for 2020-2025.","Для получения дополнительной информации см. Отчеты об устойчивом развитии за 2020-2025 гг.")</f>
        <v>Для получения дополнительной информации см. Отчеты об устойчивом развитии за 2020-2025 гг.</v>
      </c>
      <c r="M358" s="589"/>
      <c r="N358" s="589"/>
    </row>
    <row r="360" spans="2:15">
      <c r="B360" s="447" t="str">
        <f>IF(Contents!$B$2=2,"In the process of preparing non-financial reports, NOVATEK adheres to the Standard of Public Business Capital, which was approved by Government Decree No. 2230 of December 30, 2025.","При подготовке нефинансовой отчетности «НОВАТЭК» учитывает Стандарт общественного капитала бизнеса (СОКБ), утвержденный постановлением Правительства РФ от 30.12.2025 № 2230")</f>
        <v>При подготовке нефинансовой отчетности «НОВАТЭК» учитывает Стандарт общественного капитала бизнеса (СОКБ), утвержденный постановлением Правительства РФ от 30.12.2025 № 2230</v>
      </c>
    </row>
  </sheetData>
  <autoFilter ref="I7"/>
  <mergeCells count="1">
    <mergeCell ref="F3:G4"/>
  </mergeCells>
  <hyperlinks>
    <hyperlink ref="B3" location="СОКБ!B8" display="СОКБ!B8"/>
    <hyperlink ref="B4" location="СОКБ!B105" display="СОКБ!B105"/>
    <hyperlink ref="C3" location="СОКБ!B177" display="СОКБ!B177"/>
    <hyperlink ref="C4" location="СОКБ!B202" display="СОКБ!B202"/>
    <hyperlink ref="B1" location="Contents!A1" display="← Back to Contents"/>
    <hyperlink ref="B358" r:id="rId1" display="https://www.novatek.ru/en/development/archive/"/>
    <hyperlink ref="F3:G4" location="СОКБ!B226" display="СОКБ!B226"/>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IG128"/>
  <sheetViews>
    <sheetView zoomScale="60" zoomScaleNormal="60" workbookViewId="0">
      <pane xSplit="1" ySplit="7" topLeftCell="B8" activePane="bottomRight" state="frozen"/>
      <selection pane="topRight" activeCell="B1" sqref="B1"/>
      <selection pane="bottomLeft" activeCell="A8" sqref="A8"/>
      <selection pane="bottomRight" activeCell="B1" sqref="B1"/>
    </sheetView>
  </sheetViews>
  <sheetFormatPr defaultColWidth="13.140625" defaultRowHeight="18.75"/>
  <cols>
    <col min="1" max="1" width="13.140625" style="14"/>
    <col min="2" max="2" width="107.85546875" style="14" customWidth="1"/>
    <col min="3" max="3" width="20.42578125" style="15" customWidth="1"/>
    <col min="4" max="7" width="20.42578125" style="37" customWidth="1"/>
    <col min="8" max="8" width="13.140625" style="16" customWidth="1"/>
    <col min="9" max="9" width="20.42578125" style="589" customWidth="1"/>
    <col min="10" max="10" width="5.42578125" style="589" customWidth="1"/>
    <col min="11" max="11" width="15.42578125" style="589" customWidth="1"/>
    <col min="12" max="12" width="5.42578125" style="589" customWidth="1"/>
    <col min="13" max="238" width="9.140625" style="14" customWidth="1"/>
    <col min="239" max="239" width="13.42578125" style="14" customWidth="1"/>
    <col min="240" max="240" width="91" style="14" customWidth="1"/>
    <col min="241" max="16384" width="13.140625" style="14"/>
  </cols>
  <sheetData>
    <row r="1" spans="2:241" ht="89.1" customHeight="1">
      <c r="B1" s="487" t="s">
        <v>168</v>
      </c>
    </row>
    <row r="2" spans="2:241">
      <c r="B2" s="18" t="str">
        <f>IF(Contents!$B$2=2,"CONTENTS","СОДЕРЖАНИЕ")</f>
        <v>СОДЕРЖАНИЕ</v>
      </c>
      <c r="C2" s="44"/>
      <c r="D2" s="773"/>
      <c r="E2" s="719"/>
      <c r="F2" s="719"/>
      <c r="G2" s="719"/>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row>
    <row r="3" spans="2:241" ht="36" customHeight="1">
      <c r="B3" s="575" t="str">
        <f>IF(Contents!$B$2=2,"Environmental indicators","Экологические показатели")</f>
        <v>Экологические показатели</v>
      </c>
      <c r="C3" s="575" t="str">
        <f>IF(Contents!$B$2=2,"Management indicators","Управленческие показатели")</f>
        <v>Управленческие показатели</v>
      </c>
      <c r="D3" s="575"/>
      <c r="E3" s="772"/>
      <c r="F3" s="821"/>
      <c r="G3" s="821"/>
      <c r="H3" s="507"/>
    </row>
    <row r="4" spans="2:241" ht="39.6" customHeight="1">
      <c r="B4" s="575" t="str">
        <f>IF(Contents!$B$2=2,"Social indicators","Социальные показатели")</f>
        <v>Социальные показатели</v>
      </c>
      <c r="C4" s="575"/>
      <c r="D4" s="575"/>
      <c r="E4" s="584"/>
      <c r="F4" s="821"/>
      <c r="G4" s="821"/>
      <c r="H4" s="507"/>
      <c r="I4" s="39"/>
      <c r="K4" s="39"/>
    </row>
    <row r="5" spans="2:241">
      <c r="B5" s="584"/>
      <c r="C5" s="584"/>
      <c r="D5" s="584"/>
      <c r="E5" s="584"/>
      <c r="F5" s="584"/>
      <c r="G5" s="584"/>
      <c r="H5" s="507"/>
      <c r="I5" s="39"/>
      <c r="K5" s="39"/>
    </row>
    <row r="6" spans="2:241" ht="20.25">
      <c r="B6" s="674" t="s">
        <v>222</v>
      </c>
      <c r="C6" s="771"/>
      <c r="D6" s="770"/>
      <c r="E6" s="770"/>
      <c r="F6" s="770"/>
      <c r="G6" s="770"/>
      <c r="H6" s="35"/>
      <c r="I6" s="769"/>
      <c r="K6" s="769"/>
    </row>
    <row r="7" spans="2:241" ht="30.75" customHeight="1">
      <c r="B7" s="47"/>
      <c r="C7" s="19"/>
      <c r="D7" s="21">
        <v>2022</v>
      </c>
      <c r="E7" s="20">
        <v>2023</v>
      </c>
      <c r="F7" s="20">
        <v>2024</v>
      </c>
      <c r="G7" s="20">
        <v>2025</v>
      </c>
      <c r="H7" s="36"/>
      <c r="I7" s="602" t="str">
        <f>IF(Contents!$B$2=2,"Indices of indicators","Индексы показателей")</f>
        <v>Индексы показателей</v>
      </c>
      <c r="J7" s="504"/>
      <c r="K7" s="586" t="str">
        <f>IF(Contents!$B$2=2,"Report scope","Границы отчетности")</f>
        <v>Границы отчетности</v>
      </c>
      <c r="L7" s="504"/>
    </row>
    <row r="8" spans="2:241">
      <c r="B8" s="45" t="str">
        <f>IF(Contents!$B$2=2,"Environmental indicators","Экологические показатели")</f>
        <v>Экологические показатели</v>
      </c>
      <c r="C8" s="45"/>
      <c r="D8" s="719"/>
      <c r="E8" s="719"/>
      <c r="F8" s="719"/>
      <c r="G8" s="719"/>
      <c r="H8" s="40"/>
      <c r="I8" s="39"/>
      <c r="K8" s="558"/>
    </row>
    <row r="9" spans="2:241">
      <c r="B9" s="48" t="str">
        <f>IF(Contents!$B$2=2,"Greenhouse gas emissions","Выбросы парниковых газов")</f>
        <v>Выбросы парниковых газов</v>
      </c>
      <c r="C9" s="49" t="str">
        <f>IF(Contents!$B$2=2,"th. tons of CO₂ eq.","тыс. т CO₂-экв.")</f>
        <v>тыс. т CO₂-экв.</v>
      </c>
      <c r="D9" s="762">
        <v>9589.8000000000011</v>
      </c>
      <c r="E9" s="762">
        <v>9655.6999999999989</v>
      </c>
      <c r="F9" s="762">
        <v>9750</v>
      </c>
      <c r="G9" s="762">
        <v>9822.35</v>
      </c>
      <c r="H9" s="394"/>
      <c r="I9" s="56" t="str">
        <f>IF(Contents!$B$2=2,"BR 1","БР 1")</f>
        <v>БР 1</v>
      </c>
      <c r="K9" s="277">
        <v>2</v>
      </c>
      <c r="M9" s="22"/>
    </row>
    <row r="10" spans="2:241">
      <c r="B10" s="23" t="str">
        <f>IF(Contents!$B$2=2,"by Scopes","по охватам")</f>
        <v>по охватам</v>
      </c>
      <c r="C10" s="77"/>
      <c r="D10" s="77"/>
      <c r="E10" s="77"/>
      <c r="F10" s="77"/>
      <c r="G10" s="77"/>
      <c r="H10" s="29"/>
      <c r="I10" s="39"/>
      <c r="K10" s="558"/>
      <c r="M10" s="22"/>
    </row>
    <row r="11" spans="2:241">
      <c r="B11" s="78" t="str">
        <f>IF(Contents!$B$2=2,"Scope 1","Область охвата 1")</f>
        <v>Область охвата 1</v>
      </c>
      <c r="C11" s="53" t="str">
        <f>IF(Contents!$B$2=2,"th. tons of CO₂ eq.","тыс. т CO₂-экв.")</f>
        <v>тыс. т CO₂-экв.</v>
      </c>
      <c r="D11" s="282">
        <v>9423.2000000000007</v>
      </c>
      <c r="E11" s="282">
        <v>9482.2999999999993</v>
      </c>
      <c r="F11" s="282">
        <v>9571.9</v>
      </c>
      <c r="G11" s="893">
        <v>9626.4500000000007</v>
      </c>
      <c r="H11" s="29"/>
      <c r="I11" s="56" t="str">
        <f>IF(Contents!$B$2=2,"BR 1.1","БР 1.1")</f>
        <v>БР 1.1</v>
      </c>
      <c r="K11" s="277">
        <v>2</v>
      </c>
      <c r="M11" s="22"/>
    </row>
    <row r="12" spans="2:241">
      <c r="B12" s="78" t="str">
        <f>IF(Contents!$B$2=2,"Scope 2","Область охвата 2")</f>
        <v>Область охвата 2</v>
      </c>
      <c r="C12" s="53" t="str">
        <f>IF(Contents!$B$2=2,"th. tons of CO₂ eq.","тыс. т CO₂-экв.")</f>
        <v>тыс. т CO₂-экв.</v>
      </c>
      <c r="D12" s="67">
        <v>166.6</v>
      </c>
      <c r="E12" s="67">
        <v>173.4</v>
      </c>
      <c r="F12" s="67">
        <v>178.1</v>
      </c>
      <c r="G12" s="894">
        <v>195.9</v>
      </c>
      <c r="H12" s="29"/>
      <c r="I12" s="56" t="str">
        <f>IF(Contents!$B$2=2,"BR 1.2","БР 1.2")</f>
        <v>БР 1.2</v>
      </c>
      <c r="K12" s="277">
        <v>2</v>
      </c>
      <c r="M12" s="22"/>
    </row>
    <row r="13" spans="2:241">
      <c r="B13" s="78"/>
      <c r="C13" s="53"/>
      <c r="D13" s="80"/>
      <c r="E13" s="80"/>
      <c r="F13" s="80"/>
      <c r="G13" s="80"/>
      <c r="H13" s="29"/>
      <c r="I13" s="39"/>
      <c r="K13" s="558"/>
      <c r="M13" s="22"/>
    </row>
    <row r="14" spans="2:241">
      <c r="B14" s="25" t="str">
        <f>IF(Contents!$B$2=2,"Notes:","Примечания:")</f>
        <v>Примечания:</v>
      </c>
      <c r="C14" s="53"/>
      <c r="D14" s="80"/>
      <c r="E14" s="80"/>
      <c r="F14" s="80"/>
      <c r="G14" s="80"/>
      <c r="H14" s="29"/>
      <c r="I14" s="39"/>
      <c r="K14" s="558"/>
      <c r="M14" s="22"/>
    </row>
    <row r="15" spans="2:241">
      <c r="B15" s="26" t="str">
        <f>IF(Contents!$B$2=2, C16, B16)</f>
        <v>Расчет косвенных энергетических выбросов (область охвата 2) произведен по методу, основанному на местоположении. Данный метод отражает среднюю интенсивность выбросов в сетях по региону, из которых осуществляется потребление электроэнергии.
Расчет произведен в соответствии с методологией «Концепция расчета и публикации коэффициентов выбросов парниковых газов энергосистемы РФ». Данная методология была разработана в 2022 году Ассоциацией «НП Совет рынка» и АО «АТС» и получила международное заключение о валидации.</v>
      </c>
      <c r="C15" s="53"/>
      <c r="D15" s="83"/>
      <c r="E15" s="83"/>
      <c r="F15" s="83"/>
      <c r="G15" s="83"/>
      <c r="H15" s="29"/>
      <c r="I15" s="39"/>
      <c r="K15" s="558"/>
      <c r="M15" s="22"/>
    </row>
    <row r="16" spans="2:241">
      <c r="B16" s="113" t="s">
        <v>8</v>
      </c>
      <c r="C16" s="227" t="s">
        <v>33</v>
      </c>
      <c r="D16" s="83"/>
      <c r="E16" s="83"/>
      <c r="F16" s="83"/>
      <c r="G16" s="83"/>
      <c r="H16" s="29"/>
      <c r="I16" s="39"/>
      <c r="K16" s="558"/>
      <c r="M16" s="817"/>
    </row>
    <row r="17" spans="2:13">
      <c r="B17" s="48" t="str">
        <f>IF(Contents!$B$2=2,"Energy and fuel consumption","Потребление энергии и топлива")</f>
        <v>Потребление энергии и топлива</v>
      </c>
      <c r="C17" s="49"/>
      <c r="D17" s="50"/>
      <c r="E17" s="50"/>
      <c r="F17" s="51"/>
      <c r="G17" s="51"/>
      <c r="H17" s="29"/>
      <c r="I17" s="39"/>
      <c r="K17" s="558"/>
      <c r="M17" s="22"/>
    </row>
    <row r="18" spans="2:13" ht="36">
      <c r="B18" s="52" t="str">
        <f>IF(Contents!$B$2=2,"Own energy consumption, excluding heat and electricity supply to external consumers","Собственное энергопотребление, без учета отпуска тепла и электроэнергии внешним потребителям")</f>
        <v>Собственное энергопотребление, без учета отпуска тепла и электроэнергии внешним потребителям</v>
      </c>
      <c r="C18" s="53" t="str">
        <f>IF(Contents!$B$2=2,"GJ","ГДж")</f>
        <v>ГДж</v>
      </c>
      <c r="D18" s="107">
        <v>16685781</v>
      </c>
      <c r="E18" s="107">
        <v>12256820</v>
      </c>
      <c r="F18" s="107">
        <v>13141118</v>
      </c>
      <c r="G18" s="793">
        <v>14151321</v>
      </c>
      <c r="H18" s="29"/>
      <c r="I18" s="56" t="str">
        <f>IF(Contents!$B$2=2,"BR 2","БР 2")</f>
        <v>БР 2</v>
      </c>
      <c r="K18" s="277">
        <v>2</v>
      </c>
      <c r="M18" s="22"/>
    </row>
    <row r="19" spans="2:13">
      <c r="B19" s="23" t="str">
        <f>IF(Contents!$B$2=2,"by type","по видам")</f>
        <v>по видам</v>
      </c>
      <c r="C19" s="77" t="str">
        <f>IF(Contents!$B$2=2,"GJ","ГДж")</f>
        <v>ГДж</v>
      </c>
      <c r="D19" s="758"/>
      <c r="E19" s="758"/>
      <c r="F19" s="758"/>
      <c r="G19" s="758"/>
      <c r="H19" s="29"/>
      <c r="I19" s="39"/>
      <c r="K19" s="558"/>
      <c r="M19" s="22"/>
    </row>
    <row r="20" spans="2:13">
      <c r="B20" s="78" t="str">
        <f>IF(Contents!$B$2=2,"Heat","Тепловой энергии")</f>
        <v>Тепловой энергии</v>
      </c>
      <c r="C20" s="53" t="str">
        <f>IF(Contents!$B$2=2,"GJ","ГДж")</f>
        <v>ГДж</v>
      </c>
      <c r="D20" s="107">
        <v>3557194</v>
      </c>
      <c r="E20" s="107">
        <v>3008000</v>
      </c>
      <c r="F20" s="107">
        <v>3240000</v>
      </c>
      <c r="G20" s="793">
        <v>3840000</v>
      </c>
      <c r="H20" s="29"/>
      <c r="I20" s="56" t="str">
        <f>IF(Contents!$B$2=2,"BR 2.1","БР 2.1")</f>
        <v>БР 2.1</v>
      </c>
      <c r="K20" s="277">
        <v>2</v>
      </c>
      <c r="M20" s="22"/>
    </row>
    <row r="21" spans="2:13">
      <c r="B21" s="78" t="str">
        <f>IF(Contents!$B$2=2,"Electricity","Электроэнергия")</f>
        <v>Электроэнергия</v>
      </c>
      <c r="C21" s="53" t="str">
        <f>IF(Contents!$B$2=2,"GJ","ГДж")</f>
        <v>ГДж</v>
      </c>
      <c r="D21" s="107">
        <v>13128587</v>
      </c>
      <c r="E21" s="107">
        <v>9248820</v>
      </c>
      <c r="F21" s="107">
        <v>9901118</v>
      </c>
      <c r="G21" s="793">
        <v>10311321</v>
      </c>
      <c r="H21" s="29"/>
      <c r="I21" s="56" t="str">
        <f>IF(Contents!$B$2=2,"BR 2.2","БР 2.2")</f>
        <v>БР 2.2</v>
      </c>
      <c r="K21" s="277">
        <v>2</v>
      </c>
      <c r="M21" s="22"/>
    </row>
    <row r="22" spans="2:13">
      <c r="B22" s="23" t="str">
        <f>IF(Contents!$B$2=2,"by type of fuel used","по видам использованного топлива")</f>
        <v>по видам использованного топлива</v>
      </c>
      <c r="C22" s="77" t="str">
        <f>IF(Contents!$B$2=2,"GJ","ГДж")</f>
        <v>ГДж</v>
      </c>
      <c r="D22" s="92">
        <v>188222272</v>
      </c>
      <c r="E22" s="92">
        <v>141431858</v>
      </c>
      <c r="F22" s="92">
        <v>146968969</v>
      </c>
      <c r="G22" s="92">
        <v>159654730</v>
      </c>
      <c r="H22" s="29"/>
      <c r="I22" s="39"/>
      <c r="K22" s="558"/>
      <c r="M22" s="22"/>
    </row>
    <row r="23" spans="2:13">
      <c r="B23" s="757" t="str">
        <f>IF(Contents!$B$2=2,"Natural gas to produce heat and electricity","Природный газ для производства тепла и электроэнергии")</f>
        <v>Природный газ для производства тепла и электроэнергии</v>
      </c>
      <c r="C23" s="53" t="str">
        <f>IF(Contents!$B$2=2,"GJ","ГДж")</f>
        <v>ГДж</v>
      </c>
      <c r="D23" s="107">
        <v>40517582</v>
      </c>
      <c r="E23" s="107">
        <v>26807053</v>
      </c>
      <c r="F23" s="107">
        <v>33071063</v>
      </c>
      <c r="G23" s="793">
        <v>32309451</v>
      </c>
      <c r="H23" s="29"/>
      <c r="I23" s="56" t="str">
        <f>IF(Contents!$B$2=2,"BR 2.3","БР 2.3")</f>
        <v>БР 2.3</v>
      </c>
      <c r="K23" s="277">
        <v>2</v>
      </c>
      <c r="M23" s="22"/>
    </row>
    <row r="24" spans="2:13">
      <c r="B24" s="757" t="str">
        <f>IF(Contents!$B$2=2,"Natural gas for the Company's own technological needs","Природный газ для собственных технологических нужд Компании")</f>
        <v>Природный газ для собственных технологических нужд Компании</v>
      </c>
      <c r="C24" s="53" t="str">
        <f>IF(Contents!$B$2=2,"GJ","ГДж")</f>
        <v>ГДж</v>
      </c>
      <c r="D24" s="107">
        <v>143178190</v>
      </c>
      <c r="E24" s="107">
        <v>107789355</v>
      </c>
      <c r="F24" s="107">
        <v>106735113</v>
      </c>
      <c r="G24" s="793">
        <v>119459552</v>
      </c>
      <c r="H24" s="29"/>
      <c r="I24" s="56" t="str">
        <f>IF(Contents!$B$2=2,"BR 2.3","БР 2.3")</f>
        <v>БР 2.3</v>
      </c>
      <c r="K24" s="277">
        <v>2</v>
      </c>
      <c r="M24" s="22"/>
    </row>
    <row r="25" spans="2:13">
      <c r="B25" s="757" t="str">
        <f>IF(Contents!$B$2=2,"Butane fraction","Бутановая фракция")</f>
        <v>Бутановая фракция</v>
      </c>
      <c r="C25" s="53" t="str">
        <f>IF(Contents!$B$2=2,"GJ","ГДж")</f>
        <v>ГДж</v>
      </c>
      <c r="D25" s="107">
        <v>4526500</v>
      </c>
      <c r="E25" s="107">
        <v>6271804</v>
      </c>
      <c r="F25" s="107">
        <v>6568031</v>
      </c>
      <c r="G25" s="793">
        <v>7305427</v>
      </c>
      <c r="H25" s="29"/>
      <c r="I25" s="56" t="str">
        <f>IF(Contents!$B$2=2,"BR 2.3","БР 2.3")</f>
        <v>БР 2.3</v>
      </c>
      <c r="K25" s="277">
        <v>2</v>
      </c>
      <c r="M25" s="22"/>
    </row>
    <row r="26" spans="2:13">
      <c r="B26" s="757" t="str">
        <f>IF(Contents!$B$2=2,"Marine fuel component","Компонент судового топлива")</f>
        <v>Компонент судового топлива</v>
      </c>
      <c r="C26" s="53" t="str">
        <f>IF(Contents!$B$2=2,"GJ","ГДж")</f>
        <v>ГДж</v>
      </c>
      <c r="D26" s="107" t="s">
        <v>185</v>
      </c>
      <c r="E26" s="107">
        <v>563646</v>
      </c>
      <c r="F26" s="107">
        <v>594762</v>
      </c>
      <c r="G26" s="793">
        <v>580300</v>
      </c>
      <c r="H26" s="29"/>
      <c r="I26" s="56" t="str">
        <f>IF(Contents!$B$2=2,"BR 2.3","БР 2.3")</f>
        <v>БР 2.3</v>
      </c>
      <c r="K26" s="277">
        <v>2</v>
      </c>
      <c r="M26" s="22"/>
    </row>
    <row r="27" spans="2:13">
      <c r="B27" s="52" t="str">
        <f>IF(Contents!$B$2=2,"Volume of renewable and low-carbon energy consumption","Объем потребления возобновляемой и низкоуглеродной энергии")</f>
        <v>Объем потребления возобновляемой и низкоуглеродной энергии</v>
      </c>
      <c r="C27" s="53" t="str">
        <f>IF(Contents!$B$2=2,"GJ","ГДж")</f>
        <v>ГДж</v>
      </c>
      <c r="D27" s="107">
        <v>83661</v>
      </c>
      <c r="E27" s="107">
        <v>229275.8046</v>
      </c>
      <c r="F27" s="107">
        <v>544465.126590534</v>
      </c>
      <c r="G27" s="793">
        <v>1320.981804</v>
      </c>
      <c r="H27" s="29"/>
      <c r="I27" s="56" t="str">
        <f>IF(Contents!$B$2=2,"BR 3","БР 3")</f>
        <v>БР 3</v>
      </c>
      <c r="K27" s="277">
        <v>2</v>
      </c>
      <c r="M27" s="22"/>
    </row>
    <row r="28" spans="2:13">
      <c r="B28" s="246" t="str">
        <f>IF(Contents!$B$2=2,"Volume of renewable energy consumption","Объем потребления возобновляемой и низкоуглеродной энергии")</f>
        <v>Объем потребления возобновляемой и низкоуглеродной энергии</v>
      </c>
      <c r="C28" s="53" t="s">
        <v>0</v>
      </c>
      <c r="D28" s="799">
        <v>0.637243</v>
      </c>
      <c r="E28" s="799">
        <v>2.9958849999999999</v>
      </c>
      <c r="F28" s="799">
        <v>2.5962619999999998</v>
      </c>
      <c r="G28" s="901">
        <v>0.01</v>
      </c>
      <c r="H28" s="29"/>
      <c r="I28" s="56" t="str">
        <f>IF(Contents!$B$2=2,"BR 4","БР 4")</f>
        <v>БР 4</v>
      </c>
      <c r="K28" s="277">
        <v>2</v>
      </c>
      <c r="M28" s="22"/>
    </row>
    <row r="29" spans="2:13" ht="17.45" customHeight="1">
      <c r="B29" s="52"/>
      <c r="C29" s="53"/>
      <c r="D29" s="107"/>
      <c r="E29" s="107"/>
      <c r="F29" s="107"/>
      <c r="G29" s="107"/>
      <c r="H29" s="29"/>
      <c r="I29" s="56"/>
      <c r="K29" s="277"/>
      <c r="M29" s="22"/>
    </row>
    <row r="30" spans="2:13">
      <c r="B30" s="25" t="str">
        <f>IF(Contents!$B$2=2,"Notes:","Примечания:")</f>
        <v>Примечания:</v>
      </c>
      <c r="C30" s="53"/>
      <c r="D30" s="86"/>
      <c r="E30" s="86"/>
      <c r="F30" s="86"/>
      <c r="G30" s="86"/>
      <c r="H30" s="29"/>
      <c r="I30" s="39"/>
      <c r="K30" s="558"/>
      <c r="M30" s="22"/>
    </row>
    <row r="31" spans="2:13">
      <c r="B31" s="26" t="str">
        <f>IF(Contents!$B$2=2, C32, B32)</f>
        <v>Потребление энергии рассчитывается как сумма закупленной энергии и обеспечивающей генерации за вычетом продажи и отпуска. При пересчете данных использовались следующие коэффициенты: 1 тыс. кВт*ч = 3,6 ГДж, 1 Гкал = 4,187 ГДж. При пересчете данных по потреблению топлива использовался коэффициент: 1 т.у.т. = 29,31 ГДж; 1 т.у.т. = 1 куб. м * 1,154.</v>
      </c>
      <c r="C31" s="1"/>
      <c r="D31" s="82"/>
      <c r="E31" s="82"/>
      <c r="F31" s="82"/>
      <c r="G31" s="82"/>
      <c r="H31" s="29"/>
      <c r="I31" s="39"/>
      <c r="K31" s="558"/>
      <c r="M31" s="22"/>
    </row>
    <row r="32" spans="2:13">
      <c r="B32" s="113" t="s">
        <v>9</v>
      </c>
      <c r="C32" s="113" t="s">
        <v>34</v>
      </c>
      <c r="D32" s="82"/>
      <c r="E32" s="82"/>
      <c r="F32" s="82"/>
      <c r="G32" s="82"/>
      <c r="H32" s="29"/>
      <c r="I32" s="39"/>
      <c r="K32" s="558"/>
      <c r="M32" s="22"/>
    </row>
    <row r="33" spans="2:241" ht="18">
      <c r="B33" s="75" t="str">
        <f>IF(Contents!$B$2=2,"Emissions of pollutants","Выбросы загрязняющих веществ")</f>
        <v>Выбросы загрязняющих веществ</v>
      </c>
      <c r="C33" s="42"/>
      <c r="D33" s="763"/>
      <c r="E33" s="763"/>
      <c r="F33" s="763"/>
      <c r="G33" s="763"/>
      <c r="H33" s="64"/>
      <c r="I33" s="56"/>
      <c r="J33" s="56"/>
      <c r="K33" s="277"/>
      <c r="L33" s="277"/>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row>
    <row r="34" spans="2:241" ht="35.1" customHeight="1">
      <c r="B34" s="52" t="str">
        <f>IF(Contents!$B$2=2,"Air pollutant emissions from stationary sources","Масса выбросов загрязняющих веществ в атмосферный воздух от стационарных источников")</f>
        <v>Масса выбросов загрязняющих веществ в атмосферный воздух от стационарных источников</v>
      </c>
      <c r="C34" s="12" t="str">
        <f>IF(Contents!$B$2=2,"th. tons","тыс. т")</f>
        <v>тыс. т</v>
      </c>
      <c r="D34" s="67">
        <v>70.8</v>
      </c>
      <c r="E34" s="67">
        <v>65.8</v>
      </c>
      <c r="F34" s="67">
        <v>56</v>
      </c>
      <c r="G34" s="894">
        <v>80.327621187118595</v>
      </c>
      <c r="H34" s="55"/>
      <c r="I34" s="56" t="str">
        <f>IF(Contents!$B$2=2,"BR 6","БР 6")</f>
        <v>БР 6</v>
      </c>
      <c r="J34" s="55"/>
      <c r="K34" s="277">
        <v>2</v>
      </c>
      <c r="L34" s="277"/>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row>
    <row r="35" spans="2:241">
      <c r="B35" s="818"/>
      <c r="C35" s="818"/>
      <c r="D35" s="819"/>
      <c r="E35" s="819"/>
      <c r="F35" s="819"/>
      <c r="G35" s="819"/>
      <c r="H35" s="40"/>
      <c r="I35" s="39"/>
      <c r="K35" s="558"/>
    </row>
    <row r="36" spans="2:241">
      <c r="B36" s="48" t="str">
        <f>IF(Contents!$B$2=2,"Water use and discharge","Водопользование и водоотведение")</f>
        <v>Водопользование и водоотведение</v>
      </c>
      <c r="C36" s="49"/>
      <c r="D36" s="50"/>
      <c r="E36" s="50"/>
      <c r="F36" s="51"/>
      <c r="G36" s="51"/>
      <c r="H36" s="29"/>
      <c r="I36" s="39"/>
      <c r="K36" s="766"/>
      <c r="M36" s="22"/>
    </row>
    <row r="37" spans="2:241" ht="18">
      <c r="B37" s="52" t="str">
        <f>IF(Contents!$B$2=2,"Total water withdrawal","Общий объем забираемой воды")</f>
        <v>Общий объем забираемой воды</v>
      </c>
      <c r="C37" s="53" t="str">
        <f>IF(Contents!$B$2=2,"th. cubic meters","тыс. куб. м")</f>
        <v>тыс. куб. м</v>
      </c>
      <c r="D37" s="147">
        <v>2923</v>
      </c>
      <c r="E37" s="147">
        <v>4327</v>
      </c>
      <c r="F37" s="147">
        <v>4224</v>
      </c>
      <c r="G37" s="895">
        <v>2165</v>
      </c>
      <c r="H37" s="55"/>
      <c r="I37" s="56" t="str">
        <f>IF(Contents!$B$2=2,"BR 7","БР 7")</f>
        <v>БР 7</v>
      </c>
      <c r="J37" s="56"/>
      <c r="K37" s="277">
        <v>2</v>
      </c>
      <c r="L37" s="277"/>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row>
    <row r="38" spans="2:241" ht="36">
      <c r="B38" s="52" t="str">
        <f>IF(Contents!$B$2=2,"Volume of own water consumption from all water supply sources, excluding water supply to external consumers without its use","Объем собственного потребления воды из всех источников водоснабжения, без учета отпуска воды внешним потребителям без ее использования")</f>
        <v>Объем собственного потребления воды из всех источников водоснабжения, без учета отпуска воды внешним потребителям без ее использования</v>
      </c>
      <c r="C38" s="53" t="str">
        <f>IF(Contents!$B$2=2,"th. cubic meters","тыс. куб. м")</f>
        <v>тыс. куб. м</v>
      </c>
      <c r="D38" s="147">
        <v>414</v>
      </c>
      <c r="E38" s="147">
        <v>1808</v>
      </c>
      <c r="F38" s="147">
        <v>1640</v>
      </c>
      <c r="G38" s="895">
        <v>215</v>
      </c>
      <c r="H38" s="55"/>
      <c r="I38" s="56" t="str">
        <f>IF(Contents!$B$2=2,"BR 8","БР 8")</f>
        <v>БР 8</v>
      </c>
      <c r="J38" s="56"/>
      <c r="K38" s="277">
        <v>2</v>
      </c>
      <c r="L38" s="277"/>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row>
    <row r="39" spans="2:241" ht="36">
      <c r="B39" s="52" t="str">
        <f>IF(Contents!$B$2=2,"Percentage of recycled and reused water in total own water consumption from all sources","Доля оборотного и повторно-последовательного водоснабжения в общем объеме собственного потребления воды из всех источников")</f>
        <v>Доля оборотного и повторно-последовательного водоснабжения в общем объеме собственного потребления воды из всех источников</v>
      </c>
      <c r="C39" s="53" t="s">
        <v>0</v>
      </c>
      <c r="D39" s="482" t="s">
        <v>185</v>
      </c>
      <c r="E39" s="482" t="s">
        <v>185</v>
      </c>
      <c r="F39" s="482" t="s">
        <v>185</v>
      </c>
      <c r="G39" s="895">
        <v>16</v>
      </c>
      <c r="H39" s="55"/>
      <c r="I39" s="56" t="str">
        <f>IF(Contents!$B$2=2,"BR 9","БР 9")</f>
        <v>БР 9</v>
      </c>
      <c r="J39" s="56"/>
      <c r="K39" s="277">
        <v>2</v>
      </c>
      <c r="L39" s="277"/>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row>
    <row r="40" spans="2:241" ht="54">
      <c r="B40" s="52" t="str">
        <f>IF(Contents!$B$2=2,"Volume of polluted wastewater discharges into water bodies (polluted, normatively clean, normatively treated) and/or transferred polluted wastewater for treatment to other enterprises","Объем сбросов загрязненных сточных вод в водные объекты (загрязненных, нормативно чистых, нормативно очищенных) и/или переданных загрязненных стоков на очистку другим предприятиям")</f>
        <v>Объем сбросов загрязненных сточных вод в водные объекты (загрязненных, нормативно чистых, нормативно очищенных) и/или переданных загрязненных стоков на очистку другим предприятиям</v>
      </c>
      <c r="C40" s="53" t="str">
        <f>IF(Contents!$B$2=2,"th. cubic meters","тыс. куб. м")</f>
        <v>тыс. куб. м</v>
      </c>
      <c r="D40" s="147">
        <v>0</v>
      </c>
      <c r="E40" s="147">
        <v>0</v>
      </c>
      <c r="F40" s="147">
        <v>0</v>
      </c>
      <c r="G40" s="895">
        <v>0</v>
      </c>
      <c r="H40" s="55"/>
      <c r="I40" s="56" t="str">
        <f>IF(Contents!$B$2=2,"BR 10","БР 10")</f>
        <v>БР 10</v>
      </c>
      <c r="J40" s="56"/>
      <c r="K40" s="277">
        <v>2</v>
      </c>
      <c r="L40" s="56"/>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row>
    <row r="41" spans="2:241" ht="18">
      <c r="B41" s="57"/>
      <c r="C41" s="12"/>
      <c r="D41" s="10"/>
      <c r="E41" s="10"/>
      <c r="F41" s="10"/>
      <c r="G41" s="10"/>
      <c r="H41" s="59"/>
      <c r="I41" s="60"/>
      <c r="J41" s="56"/>
      <c r="K41" s="56"/>
      <c r="L41" s="56"/>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row>
    <row r="42" spans="2:241">
      <c r="B42" s="768" t="str">
        <f>IF(Contents!$B$2=2,"Waste generation and movement","Образование и движение отходов")</f>
        <v>Образование и движение отходов</v>
      </c>
      <c r="C42" s="767"/>
      <c r="D42" s="663"/>
      <c r="E42" s="663"/>
      <c r="F42" s="663"/>
      <c r="G42" s="663"/>
      <c r="H42" s="29"/>
      <c r="I42" s="39"/>
      <c r="K42" s="766"/>
      <c r="M42" s="22"/>
    </row>
    <row r="43" spans="2:241" ht="18">
      <c r="B43" s="52" t="str">
        <f>IF(Contents!$B$2=2,"Waste generation","Образование отходов")</f>
        <v>Образование отходов</v>
      </c>
      <c r="C43" s="12" t="str">
        <f>IF(Contents!$B$2=2,"th. tons","тыс. т")</f>
        <v>тыс. т</v>
      </c>
      <c r="D43" s="67">
        <v>91.034000000000006</v>
      </c>
      <c r="E43" s="67">
        <v>72.161999999999992</v>
      </c>
      <c r="F43" s="67">
        <v>117.65400000000001</v>
      </c>
      <c r="G43" s="894">
        <v>110.33499999999999</v>
      </c>
      <c r="H43" s="55"/>
      <c r="I43" s="56" t="str">
        <f>IF(Contents!$B$2=2,"BR 11","БР 11")</f>
        <v>БР 11</v>
      </c>
      <c r="J43" s="55"/>
      <c r="K43" s="277">
        <v>2</v>
      </c>
      <c r="L43" s="277"/>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row>
    <row r="44" spans="2:241">
      <c r="B44" s="23" t="str">
        <f>IF(Contents!$B$2=2,"by environmental impact","по степени воздействия на окружающую среду")</f>
        <v>по степени воздействия на окружающую среду</v>
      </c>
      <c r="C44" s="13"/>
      <c r="D44" s="69"/>
      <c r="E44" s="69"/>
      <c r="F44" s="69"/>
      <c r="G44" s="69"/>
      <c r="H44" s="56"/>
      <c r="I44" s="606"/>
      <c r="J44" s="56"/>
      <c r="K44" s="56"/>
      <c r="L44" s="56"/>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row>
    <row r="45" spans="2:241" ht="18">
      <c r="B45" s="41" t="str">
        <f>IF(Contents!$B$2=2,"Hazard class I","I класс опасности")</f>
        <v>I класс опасности</v>
      </c>
      <c r="C45" s="12" t="str">
        <f>IF(Contents!$B$2=2,"th. tons","тыс. т")</f>
        <v>тыс. т</v>
      </c>
      <c r="D45" s="765">
        <v>4.0000000000000001E-3</v>
      </c>
      <c r="E45" s="765">
        <v>2E-3</v>
      </c>
      <c r="F45" s="765">
        <v>4.0000000000000001E-3</v>
      </c>
      <c r="G45" s="896">
        <v>2E-3</v>
      </c>
      <c r="H45" s="71"/>
      <c r="I45" s="56" t="str">
        <f>IF(Contents!$B$2=2,"BR 11.1","БР 11.1")</f>
        <v>БР 11.1</v>
      </c>
      <c r="J45" s="71"/>
      <c r="K45" s="277">
        <v>2</v>
      </c>
      <c r="L45" s="308"/>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row>
    <row r="46" spans="2:241" ht="18">
      <c r="B46" s="41" t="str">
        <f>IF(Contents!$B$2=2,"Hazard class II","II класс опасности")</f>
        <v>II класс опасности</v>
      </c>
      <c r="C46" s="12" t="str">
        <f>IF(Contents!$B$2=2,"th. tons","тыс. т")</f>
        <v>тыс. т</v>
      </c>
      <c r="D46" s="764">
        <v>0.03</v>
      </c>
      <c r="E46" s="764">
        <v>0.06</v>
      </c>
      <c r="F46" s="764">
        <v>0.15</v>
      </c>
      <c r="G46" s="680">
        <v>0.126</v>
      </c>
      <c r="H46" s="55"/>
      <c r="I46" s="56" t="str">
        <f>IF(Contents!$B$2=2,"BR 11.2","БР 11.2")</f>
        <v>БР 11.2</v>
      </c>
      <c r="J46" s="55"/>
      <c r="K46" s="277">
        <v>2</v>
      </c>
      <c r="L46" s="55"/>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row>
    <row r="47" spans="2:241" ht="18">
      <c r="B47" s="41" t="str">
        <f>IF(Contents!$B$2=2,"Hazard class III","III класс опасности")</f>
        <v>III класс опасности</v>
      </c>
      <c r="C47" s="12" t="str">
        <f>IF(Contents!$B$2=2,"th. tons","тыс. т")</f>
        <v>тыс. т</v>
      </c>
      <c r="D47" s="72">
        <v>2</v>
      </c>
      <c r="E47" s="72">
        <v>2.7</v>
      </c>
      <c r="F47" s="72">
        <v>23.6</v>
      </c>
      <c r="G47" s="897">
        <v>23.344999999999999</v>
      </c>
      <c r="H47" s="55"/>
      <c r="I47" s="56" t="str">
        <f>IF(Contents!$B$2=2,"BR 11.3","БР 11.3")</f>
        <v>БР 11.3</v>
      </c>
      <c r="J47" s="55"/>
      <c r="K47" s="277">
        <v>2</v>
      </c>
      <c r="L47" s="55"/>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row>
    <row r="48" spans="2:241" ht="18">
      <c r="B48" s="41" t="str">
        <f>IF(Contents!$B$2=2,"Hazard class IV","IV класс опасности")</f>
        <v>IV класс опасности</v>
      </c>
      <c r="C48" s="12" t="str">
        <f>IF(Contents!$B$2=2,"th. tons","тыс. т")</f>
        <v>тыс. т</v>
      </c>
      <c r="D48" s="72">
        <v>85.2</v>
      </c>
      <c r="E48" s="72">
        <v>65.3</v>
      </c>
      <c r="F48" s="72">
        <v>87.7</v>
      </c>
      <c r="G48" s="897">
        <v>81.453999999999994</v>
      </c>
      <c r="H48" s="55"/>
      <c r="I48" s="56" t="str">
        <f>IF(Contents!$B$2=2,"BR 11.4","БР 11.4")</f>
        <v>БР 11.4</v>
      </c>
      <c r="J48" s="55"/>
      <c r="K48" s="277">
        <v>2</v>
      </c>
      <c r="L48" s="55"/>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row>
    <row r="49" spans="2:241" ht="18">
      <c r="B49" s="41" t="str">
        <f>IF(Contents!$B$2=2,"Hazard class V","V класс опасности")</f>
        <v>V класс опасности</v>
      </c>
      <c r="C49" s="12" t="str">
        <f>IF(Contents!$B$2=2,"th. tons","тыс. т")</f>
        <v>тыс. т</v>
      </c>
      <c r="D49" s="72">
        <v>3.8</v>
      </c>
      <c r="E49" s="72">
        <v>4.0999999999999996</v>
      </c>
      <c r="F49" s="72">
        <v>6.2</v>
      </c>
      <c r="G49" s="897">
        <v>5.4080000000000004</v>
      </c>
      <c r="H49" s="55"/>
      <c r="I49" s="56" t="str">
        <f>IF(Contents!$B$2=2,"BR 11.5","БР 11.5")</f>
        <v>БР 11.5</v>
      </c>
      <c r="J49" s="55"/>
      <c r="K49" s="277">
        <v>2</v>
      </c>
      <c r="L49" s="55"/>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row>
    <row r="50" spans="2:241" ht="18">
      <c r="B50" s="52" t="str">
        <f>IF(Contents!$B$2=2,"Waste movement","Движение отходов")</f>
        <v>Движение отходов</v>
      </c>
      <c r="C50" s="12" t="str">
        <f>IF(Contents!$B$2=2,"th. tons","тыс. т")</f>
        <v>тыс. т</v>
      </c>
      <c r="D50" s="54">
        <v>94.8</v>
      </c>
      <c r="E50" s="54">
        <v>68.800000000000011</v>
      </c>
      <c r="F50" s="54">
        <v>117.80000000000001</v>
      </c>
      <c r="G50" s="826">
        <v>104.39999999999999</v>
      </c>
      <c r="H50" s="55"/>
      <c r="I50" s="56" t="str">
        <f>IF(Contents!$B$2=2,"BR 12","БР 12")</f>
        <v>БР 12</v>
      </c>
      <c r="J50" s="55"/>
      <c r="K50" s="55"/>
      <c r="L50" s="55"/>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row>
    <row r="51" spans="2:241">
      <c r="B51" s="23" t="str">
        <f>IF(Contents!$B$2=2,"by direction","по направлениям")</f>
        <v>по направлениям</v>
      </c>
      <c r="C51" s="13"/>
      <c r="D51" s="73"/>
      <c r="E51" s="73"/>
      <c r="F51" s="73"/>
      <c r="G51" s="73"/>
      <c r="H51" s="56"/>
      <c r="I51" s="56"/>
      <c r="J51" s="56"/>
      <c r="K51" s="56"/>
      <c r="L51" s="56"/>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row>
    <row r="52" spans="2:241" ht="18">
      <c r="B52" s="41" t="str">
        <f>IF(Contents!$B$2=2,"Processed","Утилизировано")</f>
        <v>Утилизировано</v>
      </c>
      <c r="C52" s="12" t="str">
        <f>IF(Contents!$B$2=2,"th. tons","тыс. т")</f>
        <v>тыс. т</v>
      </c>
      <c r="D52" s="67">
        <v>85.9</v>
      </c>
      <c r="E52" s="67">
        <v>58.7</v>
      </c>
      <c r="F52" s="67">
        <v>86.7</v>
      </c>
      <c r="G52" s="894">
        <v>76.2</v>
      </c>
      <c r="H52" s="55"/>
      <c r="I52" s="56" t="str">
        <f>IF(Contents!$B$2=2,"BR 12.1","БР 12.1")</f>
        <v>БР 12.1</v>
      </c>
      <c r="J52" s="55"/>
      <c r="K52" s="277">
        <v>2</v>
      </c>
      <c r="L52" s="55"/>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row>
    <row r="53" spans="2:241">
      <c r="B53" s="820" t="str">
        <f>IF(Contents!$B$2=2,"Reused","Повторно использовано")</f>
        <v>Повторно использовано</v>
      </c>
      <c r="C53" s="12" t="str">
        <f>IF(Contents!$B$2=2,"th. tons","тыс. т")</f>
        <v>тыс. т</v>
      </c>
      <c r="D53" s="67">
        <v>0</v>
      </c>
      <c r="E53" s="67">
        <v>0</v>
      </c>
      <c r="F53" s="67">
        <v>0</v>
      </c>
      <c r="G53" s="894">
        <v>0</v>
      </c>
      <c r="H53" s="71"/>
      <c r="I53" s="56" t="str">
        <f>IF(Contents!$B$2=2,"BR 12.1.1","БР 12.1.1")</f>
        <v>БР 12.1.1</v>
      </c>
      <c r="J53" s="71"/>
      <c r="K53" s="277">
        <v>2</v>
      </c>
      <c r="L53" s="308"/>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row>
    <row r="54" spans="2:241">
      <c r="B54" s="820" t="str">
        <f>IF(Contents!$B$2=2,"Processed (recycled)","Утилизировано (переработано)")</f>
        <v>Утилизировано (переработано)</v>
      </c>
      <c r="C54" s="12" t="str">
        <f>IF(Contents!$B$2=2,"th. tons","тыс. т")</f>
        <v>тыс. т</v>
      </c>
      <c r="D54" s="67">
        <v>85.9</v>
      </c>
      <c r="E54" s="67">
        <v>58.7</v>
      </c>
      <c r="F54" s="67">
        <v>86.7</v>
      </c>
      <c r="G54" s="894">
        <v>76.2</v>
      </c>
      <c r="H54" s="55"/>
      <c r="I54" s="56" t="str">
        <f>IF(Contents!$B$2=2,"BR 12.1.2","БР 12.1.2")</f>
        <v>БР 12.1.2</v>
      </c>
      <c r="J54" s="55"/>
      <c r="K54" s="277">
        <v>2</v>
      </c>
      <c r="L54" s="55"/>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row>
    <row r="55" spans="2:241" ht="18">
      <c r="B55" s="41" t="str">
        <f>IF(Contents!$B$2=2,"Decontaminated","Обезврежено")</f>
        <v>Обезврежено</v>
      </c>
      <c r="C55" s="12" t="str">
        <f>IF(Contents!$B$2=2,"th. tons","тыс. т")</f>
        <v>тыс. т</v>
      </c>
      <c r="D55" s="67">
        <v>7.8</v>
      </c>
      <c r="E55" s="67">
        <v>8.4</v>
      </c>
      <c r="F55" s="67">
        <v>29.1</v>
      </c>
      <c r="G55" s="894">
        <v>26.9</v>
      </c>
      <c r="H55" s="55"/>
      <c r="I55" s="56" t="str">
        <f>IF(Contents!$B$2=2,"BR 12.2","БР 12.2")</f>
        <v>БР 12.2</v>
      </c>
      <c r="J55" s="55"/>
      <c r="K55" s="277">
        <v>2</v>
      </c>
      <c r="L55" s="55"/>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row>
    <row r="56" spans="2:241" ht="18">
      <c r="B56" s="41" t="str">
        <f>IF(Contents!$B$2=2,"Disposed","Размещено")</f>
        <v>Размещено</v>
      </c>
      <c r="C56" s="12" t="str">
        <f>IF(Contents!$B$2=2,"th. tons","тыс. т")</f>
        <v>тыс. т</v>
      </c>
      <c r="D56" s="67">
        <v>1.1000000000000001</v>
      </c>
      <c r="E56" s="67">
        <v>1.7</v>
      </c>
      <c r="F56" s="67">
        <v>2</v>
      </c>
      <c r="G56" s="894">
        <v>1.3</v>
      </c>
      <c r="H56" s="55"/>
      <c r="I56" s="56" t="str">
        <f>IF(Contents!$B$2=2,"BR 12.3","БР 12.3")</f>
        <v>БР 12.3</v>
      </c>
      <c r="J56" s="55"/>
      <c r="K56" s="277">
        <v>2</v>
      </c>
      <c r="L56" s="55"/>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row>
    <row r="57" spans="2:241" ht="18">
      <c r="B57" s="41"/>
      <c r="C57" s="12"/>
      <c r="D57" s="74"/>
      <c r="E57" s="74"/>
      <c r="F57" s="74"/>
      <c r="G57" s="74"/>
      <c r="H57" s="55"/>
      <c r="I57" s="55"/>
      <c r="J57" s="55"/>
      <c r="K57" s="55"/>
      <c r="L57" s="55"/>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c r="HS57" s="43"/>
      <c r="HT57" s="43"/>
      <c r="HU57" s="43"/>
      <c r="HV57" s="43"/>
      <c r="HW57" s="43"/>
      <c r="HX57" s="43"/>
      <c r="HY57" s="43"/>
      <c r="HZ57" s="43"/>
      <c r="IA57" s="43"/>
      <c r="IB57" s="43"/>
      <c r="IC57" s="43"/>
      <c r="ID57" s="43"/>
      <c r="IE57" s="43"/>
      <c r="IF57" s="43"/>
      <c r="IG57" s="43"/>
    </row>
    <row r="58" spans="2:241">
      <c r="B58" s="48" t="str">
        <f>IF(Contents!$B$2=2,"Environmental expenses","Расходы на охрану окружающей среды")</f>
        <v>Расходы на охрану окружающей среды</v>
      </c>
      <c r="C58" s="49"/>
      <c r="D58" s="50"/>
      <c r="E58" s="50"/>
      <c r="F58" s="51"/>
      <c r="G58" s="51"/>
      <c r="H58" s="29"/>
      <c r="I58" s="39"/>
      <c r="K58" s="558"/>
      <c r="M58" s="22"/>
    </row>
    <row r="59" spans="2:241">
      <c r="B59" s="52" t="str">
        <f>IF(Contents!$B$2=2,"Costs of compensation and penalties","Затраты на компенсации и штрафы")</f>
        <v>Затраты на компенсации и штрафы</v>
      </c>
      <c r="C59" s="53" t="str">
        <f>IF(Contents!$B$2=2,"RR th.","тыс. руб.")</f>
        <v>тыс. руб.</v>
      </c>
      <c r="D59" s="91">
        <v>973</v>
      </c>
      <c r="E59" s="91">
        <v>1858</v>
      </c>
      <c r="F59" s="91">
        <v>316</v>
      </c>
      <c r="G59" s="793">
        <v>259</v>
      </c>
      <c r="H59" s="29"/>
      <c r="I59" s="56" t="str">
        <f>IF(Contents!$B$2=2,"BR 13","БР 13")</f>
        <v>БР 13</v>
      </c>
      <c r="K59" s="277">
        <v>2</v>
      </c>
      <c r="L59" s="277"/>
      <c r="M59" s="22"/>
    </row>
    <row r="60" spans="2:241">
      <c r="B60" s="87" t="str">
        <f>IF(Contents!$B$2=2,"Fines for violating environmental legislation","Штрафы за нарушения природоохранного законодательства")</f>
        <v>Штрафы за нарушения природоохранного законодательства</v>
      </c>
      <c r="C60" s="53" t="str">
        <f>IF(Contents!$B$2=2,"RR th.","тыс. руб.")</f>
        <v>тыс. руб.</v>
      </c>
      <c r="D60" s="91">
        <v>973</v>
      </c>
      <c r="E60" s="91">
        <v>1858</v>
      </c>
      <c r="F60" s="91">
        <v>316</v>
      </c>
      <c r="G60" s="793">
        <v>259</v>
      </c>
      <c r="H60" s="29"/>
      <c r="I60" s="56" t="str">
        <f>IF(Contents!$B$2=2,"BR 13.1","БР 13.1")</f>
        <v>БР 13.1</v>
      </c>
      <c r="K60" s="277">
        <v>2</v>
      </c>
      <c r="L60" s="277"/>
      <c r="M60" s="22"/>
    </row>
    <row r="61" spans="2:241">
      <c r="B61" s="285" t="str">
        <f>IF(Contents!$B$2=2,"for cases of non-compliance with laws and regulations in the reporting year","за случаи несоблюдения законов и правил в отчетном году")</f>
        <v>за случаи несоблюдения законов и правил в отчетном году</v>
      </c>
      <c r="C61" s="53" t="str">
        <f>IF(Contents!$B$2=2,"RR th.","тыс. руб.")</f>
        <v>тыс. руб.</v>
      </c>
      <c r="D61" s="506">
        <v>973</v>
      </c>
      <c r="E61" s="506">
        <v>150</v>
      </c>
      <c r="F61" s="506">
        <v>240</v>
      </c>
      <c r="G61" s="898">
        <v>140</v>
      </c>
      <c r="H61" s="29"/>
      <c r="I61" s="56"/>
      <c r="K61" s="277">
        <v>2</v>
      </c>
      <c r="L61" s="297"/>
      <c r="M61" s="22"/>
    </row>
    <row r="62" spans="2:241">
      <c r="B62" s="285" t="str">
        <f>IF(Contents!$B$2=2,"for cases of non-compliance with laws and regulations in previous years","за случаи несоблюдения законов и правил в предыдущих годах")</f>
        <v>за случаи несоблюдения законов и правил в предыдущих годах</v>
      </c>
      <c r="C62" s="53" t="str">
        <f>IF(Contents!$B$2=2,"RR th.","тыс. руб.")</f>
        <v>тыс. руб.</v>
      </c>
      <c r="D62" s="506" t="s">
        <v>185</v>
      </c>
      <c r="E62" s="506">
        <v>1708</v>
      </c>
      <c r="F62" s="506">
        <v>76</v>
      </c>
      <c r="G62" s="898">
        <v>119</v>
      </c>
      <c r="H62" s="29"/>
      <c r="I62" s="56"/>
      <c r="K62" s="277">
        <v>2</v>
      </c>
      <c r="L62" s="297"/>
      <c r="M62" s="22"/>
    </row>
    <row r="63" spans="2:241" ht="47.25" customHeight="1">
      <c r="B63" s="87" t="str">
        <f>IF(Contents!$B$2=2,"Compensation paid for harm (damage) caused to the environment, individual components of the natural environment (land, water bodies, forests, wildlife, etc.)","Выплаченная компенсация вреда (ущерба), причиненного окружающей среде, отдельным компонентам природной среды (землям, водным объектам, лесам, животному миру и др.)")</f>
        <v>Выплаченная компенсация вреда (ущерба), причиненного окружающей среде, отдельным компонентам природной среды (землям, водным объектам, лесам, животному миру и др.)</v>
      </c>
      <c r="C63" s="53" t="str">
        <f>IF(Contents!$B$2=2,"RR th.","тыс. руб.")</f>
        <v>тыс. руб.</v>
      </c>
      <c r="D63" s="88" t="s">
        <v>185</v>
      </c>
      <c r="E63" s="88" t="s">
        <v>185</v>
      </c>
      <c r="F63" s="88">
        <v>0</v>
      </c>
      <c r="G63" s="899">
        <v>0</v>
      </c>
      <c r="H63" s="29"/>
      <c r="I63" s="56" t="str">
        <f>IF(Contents!$B$2=2,"BR 13.2","БР 13.2")</f>
        <v>БР 13.2</v>
      </c>
      <c r="K63" s="277">
        <v>2</v>
      </c>
      <c r="L63" s="297"/>
      <c r="M63" s="22"/>
    </row>
    <row r="65" spans="2:241">
      <c r="B65" s="52" t="str">
        <f>IF(Contents!$B$2=2,"Expenses on the implementation of activities related to environmental protection","Расходы на реализацию мероприятий, связанных с охраной окружающей среды")</f>
        <v>Расходы на реализацию мероприятий, связанных с охраной окружающей среды</v>
      </c>
      <c r="C65" s="53" t="str">
        <f>IF(Contents!$B$2=2,"RR th.","тыс. руб.")</f>
        <v>тыс. руб.</v>
      </c>
      <c r="D65" s="91">
        <v>2570042</v>
      </c>
      <c r="E65" s="91">
        <v>3088388.1134981336</v>
      </c>
      <c r="F65" s="91">
        <v>3428649.9670470846</v>
      </c>
      <c r="G65" s="793">
        <v>3277126.3</v>
      </c>
      <c r="H65" s="29"/>
      <c r="I65" s="56" t="str">
        <f>IF(Contents!$B$2=2,"BR 14","БР 14")</f>
        <v>БР 14</v>
      </c>
      <c r="K65" s="277">
        <v>2</v>
      </c>
      <c r="L65" s="277"/>
      <c r="M65" s="22"/>
    </row>
    <row r="66" spans="2:241">
      <c r="B66" s="23" t="str">
        <f>IF(Contents!$B$2=2,"by areas of environmental protection activities","по направлениям проведения природоохранных мероприятий")</f>
        <v>по направлениям проведения природоохранных мероприятий</v>
      </c>
      <c r="C66" s="77"/>
      <c r="D66" s="84"/>
      <c r="E66" s="84"/>
      <c r="F66" s="84"/>
      <c r="G66" s="84"/>
      <c r="H66" s="29"/>
      <c r="I66" s="39"/>
      <c r="K66" s="277"/>
      <c r="L66" s="277"/>
      <c r="M66" s="22"/>
    </row>
    <row r="67" spans="2:241">
      <c r="B67" s="87" t="str">
        <f>IF(Contents!$B$2=2,"For air protection and climate change prevention","На охрану атмосферного воздуха и предотвращение изменения климата")</f>
        <v>На охрану атмосферного воздуха и предотвращение изменения климата</v>
      </c>
      <c r="C67" s="53" t="str">
        <f>IF(Contents!$B$2=2,"RR th.","тыс. руб.")</f>
        <v>тыс. руб.</v>
      </c>
      <c r="D67" s="91">
        <v>209214.91244260001</v>
      </c>
      <c r="E67" s="91">
        <v>709930.76018994965</v>
      </c>
      <c r="F67" s="91">
        <v>277309.76520298002</v>
      </c>
      <c r="G67" s="793">
        <v>624185.11738839594</v>
      </c>
      <c r="H67" s="29"/>
      <c r="I67" s="56" t="str">
        <f>IF(Contents!$B$2=2,"BR 14.1","БР 14.1")</f>
        <v>БР 14.1</v>
      </c>
      <c r="K67" s="277">
        <v>2</v>
      </c>
      <c r="L67" s="277"/>
      <c r="M67" s="783"/>
    </row>
    <row r="68" spans="2:241">
      <c r="B68" s="87" t="str">
        <f>IF(Contents!$B$2=2,"For waste water collection and treatment","На сбор и очистку сточных вод")</f>
        <v>На сбор и очистку сточных вод</v>
      </c>
      <c r="C68" s="53" t="str">
        <f>IF(Contents!$B$2=2,"RR th.","тыс. руб.")</f>
        <v>тыс. руб.</v>
      </c>
      <c r="D68" s="91">
        <v>743990.57616974995</v>
      </c>
      <c r="E68" s="91">
        <v>1004588.8252395431</v>
      </c>
      <c r="F68" s="91">
        <v>2033546.6113855781</v>
      </c>
      <c r="G68" s="793">
        <v>1691733.4485025997</v>
      </c>
      <c r="H68" s="29"/>
      <c r="I68" s="56" t="str">
        <f>IF(Contents!$B$2=2,"BR 14.2","БР 14.2")</f>
        <v>БР 14.2</v>
      </c>
      <c r="K68" s="277">
        <v>2</v>
      </c>
      <c r="L68" s="277"/>
      <c r="M68" s="22"/>
    </row>
    <row r="69" spans="2:241">
      <c r="B69" s="87" t="str">
        <f>IF(Contents!$B$2=2,"For waste management","На обращение с отходами")</f>
        <v>На обращение с отходами</v>
      </c>
      <c r="C69" s="53" t="str">
        <f>IF(Contents!$B$2=2,"RR th.","тыс. руб.")</f>
        <v>тыс. руб.</v>
      </c>
      <c r="D69" s="91">
        <v>870649.34575378662</v>
      </c>
      <c r="E69" s="91">
        <v>728774.82264314976</v>
      </c>
      <c r="F69" s="91">
        <v>609976.53624282707</v>
      </c>
      <c r="G69" s="793">
        <v>491591.66621158709</v>
      </c>
      <c r="H69" s="29"/>
      <c r="I69" s="56" t="str">
        <f>IF(Contents!$B$2=2,"BR 14.3","БР 14.3")</f>
        <v>БР 14.3</v>
      </c>
      <c r="K69" s="277">
        <v>2</v>
      </c>
      <c r="L69" s="277"/>
      <c r="M69" s="22"/>
    </row>
    <row r="70" spans="2:241">
      <c r="B70" s="87" t="str">
        <f>IF(Contents!$B$2=2,"For biodiversity and natural areas conservation","На сохранение биоразнообразия и природных территорий")</f>
        <v>На сохранение биоразнообразия и природных территорий</v>
      </c>
      <c r="C70" s="53" t="str">
        <f>IF(Contents!$B$2=2,"RR th.","тыс. руб.")</f>
        <v>тыс. руб.</v>
      </c>
      <c r="D70" s="91">
        <v>286692.70105920098</v>
      </c>
      <c r="E70" s="91">
        <v>157865.70542549097</v>
      </c>
      <c r="F70" s="91">
        <v>40008.054215700002</v>
      </c>
      <c r="G70" s="793">
        <v>80552</v>
      </c>
      <c r="H70" s="29"/>
      <c r="I70" s="56" t="str">
        <f>IF(Contents!$B$2=2,"BR 14.4","БР 14.4")</f>
        <v>БР 14.4</v>
      </c>
      <c r="K70" s="277">
        <v>2</v>
      </c>
      <c r="L70" s="277"/>
      <c r="M70" s="22"/>
    </row>
    <row r="71" spans="2:241" ht="36">
      <c r="B71" s="87" t="str">
        <f>IF(Contents!$B$2=2,"For protection and rational use of lands, rehabilitation of lands and protection of subsurface resources","На охрану и рациональное использование земель, реабилитацию земель и охрану недр")</f>
        <v>На охрану и рациональное использование земель, реабилитацию земель и охрану недр</v>
      </c>
      <c r="C71" s="53" t="str">
        <f>IF(Contents!$B$2=2,"RR th.","тыс. руб.")</f>
        <v>тыс. руб.</v>
      </c>
      <c r="D71" s="91">
        <v>222756</v>
      </c>
      <c r="E71" s="91">
        <v>245897</v>
      </c>
      <c r="F71" s="91">
        <v>248264</v>
      </c>
      <c r="G71" s="793">
        <v>251417.83103328303</v>
      </c>
      <c r="H71" s="29"/>
      <c r="I71" s="56" t="str">
        <f>IF(Contents!$B$2=2,"BR 14.5","БР 14.5")</f>
        <v>БР 14.5</v>
      </c>
      <c r="K71" s="277">
        <v>2</v>
      </c>
      <c r="L71" s="277"/>
      <c r="M71" s="22"/>
    </row>
    <row r="72" spans="2:241" ht="35.1" customHeight="1">
      <c r="B72" s="87" t="str">
        <f>IF(Contents!$B$2=2,"For environmental protection from noise, vibration and other physical impacts","На защиту окружающей среды от шумового, вибрационного и других видов физического воздействия")</f>
        <v>На защиту окружающей среды от шумового, вибрационного и других видов физического воздействия</v>
      </c>
      <c r="C72" s="53" t="str">
        <f>IF(Contents!$B$2=2,"RR th.","тыс. руб.")</f>
        <v>тыс. руб.</v>
      </c>
      <c r="D72" s="91" t="s">
        <v>185</v>
      </c>
      <c r="E72" s="91" t="s">
        <v>185</v>
      </c>
      <c r="F72" s="91">
        <v>610</v>
      </c>
      <c r="G72" s="793">
        <v>0</v>
      </c>
      <c r="H72" s="29"/>
      <c r="I72" s="56" t="str">
        <f>IF(Contents!$B$2=2,"BR 14.6","БР 14.6")</f>
        <v>БР 14.6</v>
      </c>
      <c r="K72" s="277">
        <v>2</v>
      </c>
      <c r="L72" s="56"/>
      <c r="M72" s="22"/>
    </row>
    <row r="73" spans="2:241">
      <c r="B73" s="87" t="str">
        <f>IF(Contents!$B$2=2,"For other environmental activities","На другие направления деятельности в сфере охраны окружающей среды")</f>
        <v>На другие направления деятельности в сфере охраны окружающей среды</v>
      </c>
      <c r="C73" s="53" t="str">
        <f>IF(Contents!$B$2=2,"RR th.","тыс. руб.")</f>
        <v>тыс. руб.</v>
      </c>
      <c r="D73" s="91">
        <v>225664</v>
      </c>
      <c r="E73" s="91">
        <v>232881</v>
      </c>
      <c r="F73" s="91">
        <v>215192</v>
      </c>
      <c r="G73" s="793">
        <v>133684.29248116398</v>
      </c>
      <c r="H73" s="29"/>
      <c r="I73" s="56" t="str">
        <f>IF(Contents!$B$2=2,"BR 14.8","БР 14.8")</f>
        <v>БР 14.8</v>
      </c>
      <c r="K73" s="277">
        <v>2</v>
      </c>
      <c r="L73" s="277"/>
      <c r="M73" s="22"/>
    </row>
    <row r="74" spans="2:241">
      <c r="B74" s="87"/>
      <c r="C74" s="53"/>
      <c r="D74" s="88"/>
      <c r="E74" s="88"/>
      <c r="F74" s="88"/>
      <c r="G74" s="88"/>
      <c r="H74" s="29"/>
      <c r="I74" s="39"/>
      <c r="K74" s="558"/>
      <c r="M74" s="22"/>
    </row>
    <row r="75" spans="2:241" ht="18">
      <c r="B75" s="25" t="str">
        <f>IF(Contents!$B$2=2,"Notes:","Примечания:")</f>
        <v>Примечания:</v>
      </c>
      <c r="C75" s="61"/>
      <c r="D75" s="62"/>
      <c r="E75" s="62"/>
      <c r="F75" s="62"/>
      <c r="G75" s="62"/>
      <c r="H75" s="59"/>
      <c r="I75" s="60"/>
      <c r="J75" s="56"/>
      <c r="K75" s="56"/>
      <c r="L75" s="56"/>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row>
    <row r="76" spans="2:241" ht="18">
      <c r="B76" s="65" t="str">
        <f>IF(Contents!$B$2=2, C78, B78)</f>
        <v>Расходы на реализацию мероприятий, связанных с охраной окружающей среды, включают расходы на реализацию природоохранных мероприятий и плату за негативное воздействие на окружающую среду.</v>
      </c>
      <c r="C76" s="65"/>
      <c r="D76" s="66"/>
      <c r="E76" s="66"/>
      <c r="F76" s="66"/>
      <c r="G76" s="66"/>
      <c r="H76" s="755"/>
      <c r="I76" s="60"/>
      <c r="J76" s="56"/>
      <c r="K76" s="56"/>
      <c r="L76" s="56"/>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row>
    <row r="77" spans="2:241" ht="18">
      <c r="B77" s="65" t="str">
        <f xml:space="preserve"> IF(Contents!$B$2=2, E78, D78)</f>
        <v>Расходы на другие направления деятельности в сфере охраны окружающей среды включают затраты на экологический мониторинг, управленческие и прочие мероприятия.</v>
      </c>
      <c r="C77" s="65"/>
      <c r="D77" s="66"/>
      <c r="E77" s="66"/>
      <c r="F77" s="66"/>
      <c r="G77" s="66"/>
      <c r="H77" s="755"/>
      <c r="I77" s="60"/>
      <c r="J77" s="56"/>
      <c r="K77" s="56"/>
      <c r="L77" s="56"/>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c r="EK77" s="43"/>
      <c r="EL77" s="43"/>
      <c r="EM77" s="43"/>
      <c r="EN77" s="43"/>
      <c r="EO77" s="43"/>
      <c r="EP77" s="43"/>
      <c r="EQ77" s="43"/>
      <c r="ER77" s="43"/>
      <c r="ES77" s="43"/>
      <c r="ET77" s="43"/>
      <c r="EU77" s="43"/>
      <c r="EV77" s="43"/>
      <c r="EW77" s="43"/>
      <c r="EX77" s="43"/>
      <c r="EY77" s="43"/>
      <c r="EZ77" s="43"/>
      <c r="FA77" s="43"/>
      <c r="FB77" s="43"/>
      <c r="FC77" s="43"/>
      <c r="FD77" s="43"/>
      <c r="FE77" s="43"/>
      <c r="FF77" s="43"/>
      <c r="FG77" s="43"/>
      <c r="FH77" s="43"/>
      <c r="FI77" s="43"/>
      <c r="FJ77" s="43"/>
      <c r="FK77" s="43"/>
      <c r="FL77" s="43"/>
      <c r="FM77" s="43"/>
      <c r="FN77" s="43"/>
      <c r="FO77" s="43"/>
      <c r="FP77" s="43"/>
      <c r="FQ77" s="43"/>
      <c r="FR77" s="43"/>
      <c r="FS77" s="43"/>
      <c r="FT77" s="43"/>
      <c r="FU77" s="43"/>
      <c r="FV77" s="43"/>
      <c r="FW77" s="43"/>
      <c r="FX77" s="43"/>
      <c r="FY77" s="43"/>
      <c r="FZ77" s="43"/>
      <c r="GA77" s="43"/>
      <c r="GB77" s="43"/>
      <c r="GC77" s="43"/>
      <c r="GD77" s="43"/>
      <c r="GE77" s="43"/>
      <c r="GF77" s="43"/>
      <c r="GG77" s="43"/>
      <c r="GH77" s="43"/>
      <c r="GI77" s="43"/>
      <c r="GJ77" s="43"/>
      <c r="GK77" s="43"/>
      <c r="GL77" s="43"/>
      <c r="GM77" s="43"/>
      <c r="GN77" s="43"/>
      <c r="GO77" s="43"/>
      <c r="GP77" s="43"/>
      <c r="GQ77" s="43"/>
      <c r="GR77" s="43"/>
      <c r="GS77" s="43"/>
      <c r="GT77" s="43"/>
      <c r="GU77" s="43"/>
      <c r="GV77" s="43"/>
      <c r="GW77" s="43"/>
      <c r="GX77" s="43"/>
      <c r="GY77" s="43"/>
      <c r="GZ77" s="43"/>
      <c r="HA77" s="43"/>
      <c r="HB77" s="43"/>
      <c r="HC77" s="43"/>
      <c r="HD77" s="43"/>
      <c r="HE77" s="43"/>
      <c r="HF77" s="43"/>
      <c r="HG77" s="43"/>
      <c r="HH77" s="43"/>
      <c r="HI77" s="43"/>
      <c r="HJ77" s="43"/>
      <c r="HK77" s="43"/>
      <c r="HL77" s="43"/>
      <c r="HM77" s="43"/>
      <c r="HN77" s="43"/>
      <c r="HO77" s="43"/>
      <c r="HP77" s="43"/>
      <c r="HQ77" s="43"/>
      <c r="HR77" s="43"/>
      <c r="HS77" s="43"/>
      <c r="HT77" s="43"/>
      <c r="HU77" s="43"/>
      <c r="HV77" s="43"/>
      <c r="HW77" s="43"/>
      <c r="HX77" s="43"/>
      <c r="HY77" s="43"/>
      <c r="HZ77" s="43"/>
      <c r="IA77" s="43"/>
      <c r="IB77" s="43"/>
      <c r="IC77" s="43"/>
      <c r="ID77" s="43"/>
      <c r="IE77" s="43"/>
      <c r="IF77" s="43"/>
      <c r="IG77" s="43"/>
    </row>
    <row r="78" spans="2:241">
      <c r="B78" s="114" t="s">
        <v>10</v>
      </c>
      <c r="C78" s="114" t="s">
        <v>35</v>
      </c>
      <c r="D78" s="528" t="s">
        <v>27</v>
      </c>
      <c r="E78" s="528" t="s">
        <v>36</v>
      </c>
      <c r="F78" s="82"/>
      <c r="G78" s="82"/>
      <c r="H78" s="29"/>
      <c r="I78" s="39"/>
      <c r="K78" s="558"/>
      <c r="M78" s="22"/>
    </row>
    <row r="79" spans="2:241" ht="36">
      <c r="B79" s="48"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Инвестиции в основной капитал, направленные на охрану окружающей среды и рациональное использование природных ресурсов</v>
      </c>
      <c r="C79" s="49"/>
      <c r="D79" s="50"/>
      <c r="E79" s="50"/>
      <c r="F79" s="51"/>
      <c r="G79" s="51"/>
      <c r="H79" s="29"/>
      <c r="I79" s="39"/>
      <c r="K79" s="558"/>
      <c r="M79" s="22"/>
    </row>
    <row r="80" spans="2:241" ht="36">
      <c r="B80" s="52" t="str">
        <f>IF(Contents!$B$2=2,"Capital investments aimed at environmental protection and rational use of natural resources","Инвестиции в основной капитал, направленные на охрану окружающей среды и рациональное использование природных ресурсов")</f>
        <v>Инвестиции в основной капитал, направленные на охрану окружающей среды и рациональное использование природных ресурсов</v>
      </c>
      <c r="C80" s="53" t="str">
        <f>IF(Contents!$B$2=2,"RR th.","тыс. руб.")</f>
        <v>тыс. руб.</v>
      </c>
      <c r="D80" s="99">
        <v>2001546</v>
      </c>
      <c r="E80" s="99">
        <v>3481201.4206000003</v>
      </c>
      <c r="F80" s="862">
        <v>1989899.4568</v>
      </c>
      <c r="G80" s="914">
        <v>3601908.4220000003</v>
      </c>
      <c r="H80" s="29"/>
      <c r="I80" s="56" t="str">
        <f>IF(Contents!$B$2=2,"BR 11","БР 11")</f>
        <v>БР 11</v>
      </c>
      <c r="K80" s="558">
        <v>2</v>
      </c>
      <c r="M80" s="22"/>
    </row>
    <row r="81" spans="2:13">
      <c r="B81" s="114"/>
      <c r="C81" s="115"/>
      <c r="D81" s="675"/>
      <c r="E81" s="675"/>
      <c r="F81" s="675"/>
      <c r="G81" s="675"/>
      <c r="H81" s="29"/>
      <c r="I81" s="39"/>
      <c r="K81" s="558"/>
      <c r="M81" s="22"/>
    </row>
    <row r="82" spans="2:13">
      <c r="B82" s="45" t="str">
        <f>IF(Contents!$B$2=2,"Social indicators","Социальные показатели")</f>
        <v>Социальные показатели</v>
      </c>
      <c r="C82" s="45"/>
      <c r="D82" s="719"/>
      <c r="E82" s="719"/>
      <c r="F82" s="719"/>
      <c r="G82" s="719"/>
      <c r="H82" s="29"/>
      <c r="I82" s="39"/>
      <c r="K82" s="558"/>
      <c r="M82" s="22"/>
    </row>
    <row r="83" spans="2:13">
      <c r="B83" s="52" t="str">
        <f>IF(Contents!$B$2=2,"Compensation expenses","Расходы на оплату труда")</f>
        <v>Расходы на оплату труда</v>
      </c>
      <c r="C83" s="53" t="str">
        <f>IF(Contents!$B$2=2,"RR th.","тыс. руб.")</f>
        <v>тыс. руб.</v>
      </c>
      <c r="D83" s="91" t="s">
        <v>185</v>
      </c>
      <c r="E83" s="107">
        <v>62900000</v>
      </c>
      <c r="F83" s="107">
        <v>67334000</v>
      </c>
      <c r="G83" s="793">
        <v>82300000</v>
      </c>
      <c r="H83" s="29"/>
      <c r="I83" s="56" t="str">
        <f>IF(Contents!$B$2=2,"BR 16","БР 16")</f>
        <v>БР 16</v>
      </c>
      <c r="K83" s="558">
        <v>3</v>
      </c>
      <c r="M83" s="22"/>
    </row>
    <row r="84" spans="2:13">
      <c r="B84" s="52" t="str">
        <f>IF(Contents!$B$2=2,"Average number of employees","Среднесписочная численность работников")</f>
        <v>Среднесписочная численность работников</v>
      </c>
      <c r="C84" s="53" t="str">
        <f>IF(Contents!$B$2=2,"people","человек")</f>
        <v>человек</v>
      </c>
      <c r="D84" s="91">
        <v>18731</v>
      </c>
      <c r="E84" s="91">
        <v>19846</v>
      </c>
      <c r="F84" s="91">
        <v>21157</v>
      </c>
      <c r="G84" s="793">
        <v>22623</v>
      </c>
      <c r="H84" s="29"/>
      <c r="I84" s="56" t="str">
        <f>IF(Contents!$B$2=2,"BR 17","БР 17")</f>
        <v>БР 17</v>
      </c>
      <c r="K84" s="558">
        <v>1</v>
      </c>
      <c r="M84" s="22"/>
    </row>
    <row r="85" spans="2:13">
      <c r="B85" s="23" t="str">
        <f>IF(Contents!$B$2=2,"by gender","по полу")</f>
        <v>по полу</v>
      </c>
      <c r="C85" s="77"/>
      <c r="D85" s="92"/>
      <c r="E85" s="92"/>
      <c r="F85" s="92"/>
      <c r="G85" s="92"/>
      <c r="H85" s="29"/>
      <c r="I85" s="39"/>
      <c r="K85" s="558"/>
      <c r="M85" s="22"/>
    </row>
    <row r="86" spans="2:13">
      <c r="B86" s="93" t="str">
        <f>IF(Contents!$B$2=2,"Males","Мужчины")</f>
        <v>Мужчины</v>
      </c>
      <c r="C86" s="53" t="s">
        <v>0</v>
      </c>
      <c r="D86" s="675">
        <v>78</v>
      </c>
      <c r="E86" s="675">
        <v>79</v>
      </c>
      <c r="F86" s="675">
        <v>80</v>
      </c>
      <c r="G86" s="900">
        <v>81</v>
      </c>
      <c r="H86" s="29"/>
      <c r="I86" s="56" t="str">
        <f>IF(Contents!$B$2=2,"BR 24","БР 24")</f>
        <v>БР 24</v>
      </c>
      <c r="K86" s="558">
        <v>1</v>
      </c>
      <c r="M86" s="22"/>
    </row>
    <row r="87" spans="2:13">
      <c r="B87" s="93" t="str">
        <f>IF(Contents!$B$2=2,"Females","Женщины")</f>
        <v>Женщины</v>
      </c>
      <c r="C87" s="53" t="s">
        <v>0</v>
      </c>
      <c r="D87" s="675">
        <v>22</v>
      </c>
      <c r="E87" s="675">
        <v>21</v>
      </c>
      <c r="F87" s="675">
        <v>20</v>
      </c>
      <c r="G87" s="900">
        <v>19</v>
      </c>
      <c r="H87" s="29"/>
      <c r="I87" s="56" t="str">
        <f>IF(Contents!$B$2=2,"BR 25","БР 25")</f>
        <v>БР 25</v>
      </c>
      <c r="K87" s="558">
        <v>1</v>
      </c>
      <c r="M87" s="22"/>
    </row>
    <row r="88" spans="2:13">
      <c r="B88" s="23" t="str">
        <f>IF(Contents!$B$2=2,"by age group","по возрастным группам")</f>
        <v>по возрастным группам</v>
      </c>
      <c r="C88" s="77"/>
      <c r="D88" s="92"/>
      <c r="E88" s="92"/>
      <c r="F88" s="92"/>
      <c r="G88" s="92"/>
      <c r="H88" s="29"/>
      <c r="I88" s="39"/>
      <c r="K88" s="558"/>
      <c r="M88" s="22"/>
    </row>
    <row r="89" spans="2:13">
      <c r="B89" s="796" t="str">
        <f>IF(Contents!$B$2=2,"Up to 30 years old","До 30 лет")</f>
        <v>До 30 лет</v>
      </c>
      <c r="C89" s="53" t="s">
        <v>0</v>
      </c>
      <c r="D89" s="107">
        <v>9</v>
      </c>
      <c r="E89" s="107">
        <v>8</v>
      </c>
      <c r="F89" s="107">
        <v>7.0000000000000009</v>
      </c>
      <c r="G89" s="793">
        <v>7.0000000000000009</v>
      </c>
      <c r="H89" s="29"/>
      <c r="I89" s="56" t="str">
        <f>IF(Contents!$B$2=2,"BR 26","БР 26")</f>
        <v>БР 26</v>
      </c>
      <c r="K89" s="558">
        <v>1</v>
      </c>
      <c r="M89" s="22"/>
    </row>
    <row r="90" spans="2:13">
      <c r="B90" s="796" t="str">
        <f>IF(Contents!$B$2=2,"30 to 50 years old","30-50 лет")</f>
        <v>30-50 лет</v>
      </c>
      <c r="C90" s="53" t="s">
        <v>0</v>
      </c>
      <c r="D90" s="107">
        <v>75</v>
      </c>
      <c r="E90" s="107">
        <v>75</v>
      </c>
      <c r="F90" s="107">
        <v>75</v>
      </c>
      <c r="G90" s="793">
        <v>75</v>
      </c>
      <c r="H90" s="29"/>
      <c r="I90" s="56" t="str">
        <f>IF(Contents!$B$2=2,"BR 27","БР 27")</f>
        <v>БР 27</v>
      </c>
      <c r="K90" s="558">
        <v>1</v>
      </c>
      <c r="M90" s="22"/>
    </row>
    <row r="91" spans="2:13">
      <c r="B91" s="796" t="str">
        <f>IF(Contents!$B$2=2,"Over 50 years old","Старше 50 лет")</f>
        <v>Старше 50 лет</v>
      </c>
      <c r="C91" s="53" t="s">
        <v>0</v>
      </c>
      <c r="D91" s="107">
        <v>16</v>
      </c>
      <c r="E91" s="107">
        <v>17</v>
      </c>
      <c r="F91" s="107">
        <v>18</v>
      </c>
      <c r="G91" s="793">
        <v>18</v>
      </c>
      <c r="H91" s="29"/>
      <c r="I91" s="56" t="str">
        <f>IF(Contents!$B$2=2,"BR 28","БР 28")</f>
        <v>БР 28</v>
      </c>
      <c r="K91" s="558">
        <v>1</v>
      </c>
      <c r="M91" s="22"/>
    </row>
    <row r="92" spans="2:13" ht="36">
      <c r="B92" s="750" t="str">
        <f>IF(Contents!$B$2=2,"Lost Time Injury Frequency Rate (LTIFR) per 1,000,000 man-hours for the organization's personnel excluding contractor personnel","Коэффициент частоты производственного травматизма персонала организации без учета персонала подрядчиков (LTIFR) на 1 000 000 человеко-часов")</f>
        <v>Коэффициент частоты производственного травматизма персонала организации без учета персонала подрядчиков (LTIFR) на 1 000 000 человеко-часов</v>
      </c>
      <c r="C92" s="754" t="str">
        <f>IF(Contents!$B$2=2,"rate","коэффициент")</f>
        <v>коэффициент</v>
      </c>
      <c r="D92" s="753">
        <v>0.4</v>
      </c>
      <c r="E92" s="753">
        <v>0.28000000000000003</v>
      </c>
      <c r="F92" s="753">
        <v>0.26</v>
      </c>
      <c r="G92" s="902">
        <v>0.19</v>
      </c>
      <c r="I92" s="56" t="str">
        <f>IF(Contents!$B$2=2,"BR 18","БР 18")</f>
        <v>БР 18</v>
      </c>
      <c r="K92" s="56">
        <v>1</v>
      </c>
    </row>
    <row r="93" spans="2:13" ht="36">
      <c r="B93" s="52" t="str">
        <f>IF(Contents!$B$2=2,"Number of fatalities of the organization's employees, excluding contractor personnel","Количество смертельных случаев работников организации без учета персонала подрядчиков")</f>
        <v>Количество смертельных случаев работников организации без учета персонала подрядчиков</v>
      </c>
      <c r="C93" s="53" t="str">
        <f>IF(Contents!$B$2=2,"unit","ед.")</f>
        <v>ед.</v>
      </c>
      <c r="D93" s="82">
        <v>1</v>
      </c>
      <c r="E93" s="82">
        <v>2</v>
      </c>
      <c r="F93" s="82">
        <v>2</v>
      </c>
      <c r="G93" s="900">
        <v>0</v>
      </c>
      <c r="I93" s="56" t="str">
        <f>IF(Contents!$B$2=2,"BR 19","БР 19")</f>
        <v>БР 19</v>
      </c>
      <c r="K93" s="56">
        <v>1</v>
      </c>
      <c r="M93" s="22"/>
    </row>
    <row r="94" spans="2:13" ht="36">
      <c r="B94" s="52" t="str">
        <f>IF(Contents!$B$2=2,"Fines and penalties imposed and measures taken in connection with violations of labour legislation and other acts containing labour law norms","Наложенные штрафы и меры ответственности в связи с нарушением трудового законодательства и иных актов, содержащих нормы трудового права")</f>
        <v>Наложенные штрафы и меры ответственности в связи с нарушением трудового законодательства и иных актов, содержащих нормы трудового права</v>
      </c>
      <c r="C94" s="53" t="str">
        <f>IF(Contents!$B$2=2,"RR th.","тыс. руб.")</f>
        <v>тыс. руб.</v>
      </c>
      <c r="D94" s="96" t="s">
        <v>185</v>
      </c>
      <c r="E94" s="96" t="s">
        <v>185</v>
      </c>
      <c r="F94" s="96">
        <v>0</v>
      </c>
      <c r="G94" s="95">
        <v>0</v>
      </c>
      <c r="H94" s="29"/>
      <c r="I94" s="56" t="str">
        <f>IF(Contents!$B$2=2,"BR 20","БР 20")</f>
        <v>БР 20</v>
      </c>
      <c r="K94" s="558">
        <v>1</v>
      </c>
      <c r="M94" s="22"/>
    </row>
    <row r="95" spans="2:13">
      <c r="B95" s="52" t="str">
        <f>IF(Contents!$B$2=2,"Expenses on occupational health and safety measures","Расходы на мероприятия по охране труда и промышленной безопасности")</f>
        <v>Расходы на мероприятия по охране труда и промышленной безопасности</v>
      </c>
      <c r="C95" s="53" t="str">
        <f>IF(Contents!$B$2=2,"RR th.","тыс. руб.")</f>
        <v>тыс. руб.</v>
      </c>
      <c r="D95" s="100">
        <v>3600000</v>
      </c>
      <c r="E95" s="96">
        <v>5029000</v>
      </c>
      <c r="F95" s="96">
        <v>6629000</v>
      </c>
      <c r="G95" s="95">
        <v>7193000</v>
      </c>
      <c r="I95" s="56"/>
      <c r="K95" s="56">
        <v>3</v>
      </c>
    </row>
    <row r="96" spans="2:13">
      <c r="B96"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96" s="53" t="str">
        <f>IF(Contents!$B$2=2,"RR th.","тыс. руб.")</f>
        <v>тыс. руб.</v>
      </c>
      <c r="D96" s="777">
        <v>192</v>
      </c>
      <c r="E96" s="777">
        <v>253</v>
      </c>
      <c r="F96" s="777">
        <v>313</v>
      </c>
      <c r="G96" s="913">
        <v>318</v>
      </c>
      <c r="I96" s="56" t="str">
        <f>IF(Contents!$B$2=2,"BR 21","БР 21")</f>
        <v>БР 21</v>
      </c>
      <c r="K96" s="56">
        <v>2</v>
      </c>
    </row>
    <row r="97" spans="2:13">
      <c r="B97" s="52" t="str">
        <f>IF(Contents!$B$2=2,"Expenses on employee training","Расходы на обучение работников")</f>
        <v>Расходы на обучение работников</v>
      </c>
      <c r="C97" s="53" t="str">
        <f>IF(Contents!$B$2=2,"RR th.","тыс. руб.")</f>
        <v>тыс. руб.</v>
      </c>
      <c r="D97" s="101">
        <v>80500</v>
      </c>
      <c r="E97" s="139">
        <v>174500</v>
      </c>
      <c r="F97" s="139">
        <v>198000</v>
      </c>
      <c r="G97" s="204">
        <v>217000</v>
      </c>
      <c r="H97" s="29"/>
      <c r="I97" s="56"/>
      <c r="K97" s="558">
        <v>1</v>
      </c>
      <c r="M97" s="22"/>
    </row>
    <row r="98" spans="2:13">
      <c r="B98" s="87" t="str">
        <f>IF(Contents!$B$2=2,"average per employee (average number of employees)","в среднем на одного работника (на среднесписочную численность работников)")</f>
        <v>в среднем на одного работника (на среднесписочную численность работников)</v>
      </c>
      <c r="C98" s="53" t="str">
        <f>IF(Contents!$B$2=2,"RR th.","тыс. руб.")</f>
        <v>тыс. руб.</v>
      </c>
      <c r="D98" s="378">
        <v>4.3</v>
      </c>
      <c r="E98" s="378">
        <v>8.8000000000000007</v>
      </c>
      <c r="F98" s="378">
        <v>9.4</v>
      </c>
      <c r="G98" s="97">
        <v>9.6</v>
      </c>
      <c r="H98" s="29"/>
      <c r="I98" s="56" t="str">
        <f>IF(Contents!$B$2=2,"BR 22","БР 22")</f>
        <v>БР 22</v>
      </c>
      <c r="K98" s="558">
        <v>1</v>
      </c>
      <c r="M98" s="22"/>
    </row>
    <row r="99" spans="2:13">
      <c r="B99" s="52" t="str">
        <f>IF(Contents!$B$2=2,"Staff turnover rate","Коэффициент текучести кадров")</f>
        <v>Коэффициент текучести кадров</v>
      </c>
      <c r="C99" s="53" t="s">
        <v>7</v>
      </c>
      <c r="D99" s="91">
        <v>7</v>
      </c>
      <c r="E99" s="91">
        <v>5</v>
      </c>
      <c r="F99" s="91">
        <v>5</v>
      </c>
      <c r="G99" s="793">
        <v>4</v>
      </c>
      <c r="H99" s="29"/>
      <c r="I99" s="56" t="str">
        <f>IF(Contents!$B$2=2,"BR 23","БР 23")</f>
        <v>БР 23</v>
      </c>
      <c r="K99" s="558">
        <v>1</v>
      </c>
      <c r="M99" s="22"/>
    </row>
    <row r="100" spans="2:13">
      <c r="B100" s="52"/>
      <c r="C100" s="53"/>
      <c r="D100" s="91"/>
      <c r="E100" s="91"/>
      <c r="F100" s="91"/>
      <c r="G100" s="91"/>
      <c r="H100" s="29"/>
      <c r="I100" s="39"/>
      <c r="K100" s="558"/>
      <c r="M100" s="22"/>
    </row>
    <row r="101" spans="2:13">
      <c r="B101" s="45" t="str">
        <f>IF(Contents!$B$2=2,"Management indicators","Управленческие показатели")</f>
        <v>Управленческие показатели</v>
      </c>
      <c r="C101" s="45"/>
      <c r="D101" s="719"/>
      <c r="E101" s="719"/>
      <c r="F101" s="719"/>
      <c r="G101" s="719"/>
      <c r="H101" s="29"/>
      <c r="I101" s="39"/>
      <c r="K101" s="558"/>
      <c r="M101" s="22"/>
    </row>
    <row r="102" spans="2:13">
      <c r="B102" s="52" t="str">
        <f>IF(Contents!$B$2=2,"Amount of mandatory payments accrued (excluding fines, penalties)","Сумма начисленных обязательных платежей (за исключением штрафов, пени)")</f>
        <v>Сумма начисленных обязательных платежей (за исключением штрафов, пени)</v>
      </c>
      <c r="C102" s="53" t="str">
        <f>IF(Contents!$B$2=2,"RR th.","тыс. руб.")</f>
        <v>тыс. руб.</v>
      </c>
      <c r="D102" s="46" t="s">
        <v>185</v>
      </c>
      <c r="E102" s="46" t="s">
        <v>185</v>
      </c>
      <c r="F102" s="46" t="s">
        <v>185</v>
      </c>
      <c r="G102" s="925">
        <v>194500000</v>
      </c>
      <c r="H102" s="29"/>
      <c r="I102" s="56" t="str">
        <f>IF(Contents!$B$2=2,"BR 29","БР 29")</f>
        <v>БР 29</v>
      </c>
      <c r="K102" s="558"/>
      <c r="M102" s="22"/>
    </row>
    <row r="103" spans="2:13">
      <c r="B103" s="87" t="str">
        <f>IF(Contents!$B$2=2,"Taxes and levies","Налоги и сборы")</f>
        <v>Налоги и сборы</v>
      </c>
      <c r="C103" s="53" t="str">
        <f>IF(Contents!$B$2=2,"RR th.","тыс. руб.")</f>
        <v>тыс. руб.</v>
      </c>
      <c r="D103" s="46" t="s">
        <v>185</v>
      </c>
      <c r="E103" s="46" t="s">
        <v>185</v>
      </c>
      <c r="F103" s="46" t="s">
        <v>185</v>
      </c>
      <c r="G103" s="925">
        <v>194500000</v>
      </c>
      <c r="H103" s="29"/>
      <c r="I103" s="56" t="str">
        <f>IF(Contents!$B$2=2,"BR 29.1","БР 29.1")</f>
        <v>БР 29.1</v>
      </c>
      <c r="K103" s="558">
        <v>3</v>
      </c>
      <c r="M103" s="22"/>
    </row>
    <row r="104" spans="2:13">
      <c r="B104" s="87" t="str">
        <f>IF(Contents!$B$2=2,"Insurance premiums","Страховые взносы")</f>
        <v>Страховые взносы</v>
      </c>
      <c r="C104" s="53" t="str">
        <f>IF(Contents!$B$2=2,"RR th.","тыс. руб.")</f>
        <v>тыс. руб.</v>
      </c>
      <c r="D104" s="46" t="s">
        <v>185</v>
      </c>
      <c r="E104" s="46" t="s">
        <v>185</v>
      </c>
      <c r="F104" s="46" t="s">
        <v>185</v>
      </c>
      <c r="G104" s="925" t="s">
        <v>185</v>
      </c>
      <c r="H104" s="29"/>
      <c r="I104" s="56" t="str">
        <f>IF(Contents!$B$2=2,"BR 29.2","БР 29.2")</f>
        <v>БР 29.2</v>
      </c>
      <c r="K104" s="558"/>
      <c r="M104" s="22"/>
    </row>
    <row r="105" spans="2:13">
      <c r="B105" s="87" t="str">
        <f>IF(Contents!$B$2=2,"Other mandatory payments","Иные обязательные платежи")</f>
        <v>Иные обязательные платежи</v>
      </c>
      <c r="C105" s="53" t="str">
        <f>IF(Contents!$B$2=2,"RR th.","тыс. руб.")</f>
        <v>тыс. руб.</v>
      </c>
      <c r="D105" s="46" t="s">
        <v>185</v>
      </c>
      <c r="E105" s="46" t="s">
        <v>185</v>
      </c>
      <c r="F105" s="46" t="s">
        <v>185</v>
      </c>
      <c r="G105" s="925" t="s">
        <v>185</v>
      </c>
      <c r="H105" s="29"/>
      <c r="I105" s="56" t="str">
        <f>IF(Contents!$B$2=2,"BR 29.3","БР 29.3")</f>
        <v>БР 29.3</v>
      </c>
      <c r="K105" s="558"/>
      <c r="M105" s="22"/>
    </row>
    <row r="106" spans="2:13">
      <c r="B106" s="87"/>
      <c r="C106" s="53"/>
      <c r="D106" s="46"/>
      <c r="E106" s="46"/>
      <c r="F106" s="58"/>
      <c r="G106" s="98"/>
      <c r="H106" s="29"/>
      <c r="I106" s="56"/>
      <c r="K106" s="558"/>
      <c r="M106" s="22"/>
    </row>
    <row r="107" spans="2:13">
      <c r="B107" s="52" t="str">
        <f>IF(Contents!$B$2=2,"Amount of mandatory payments paid (excluding fines, penalties)","Сумма уплаченных обязательных платежей (за исключением штрафов, пени)")</f>
        <v>Сумма уплаченных обязательных платежей (за исключением штрафов, пени)</v>
      </c>
      <c r="C107" s="53" t="str">
        <f>IF(Contents!$B$2=2,"RR th.","тыс. руб.")</f>
        <v>тыс. руб.</v>
      </c>
      <c r="D107" s="46" t="s">
        <v>185</v>
      </c>
      <c r="E107" s="46" t="s">
        <v>185</v>
      </c>
      <c r="F107" s="46" t="s">
        <v>185</v>
      </c>
      <c r="G107" s="104" t="s">
        <v>185</v>
      </c>
      <c r="H107" s="29"/>
      <c r="I107" s="56" t="str">
        <f>IF(Contents!$B$2=2,"BR 30","БР 30")</f>
        <v>БР 30</v>
      </c>
      <c r="K107" s="558"/>
      <c r="M107" s="22"/>
    </row>
    <row r="108" spans="2:13">
      <c r="B108" s="87" t="str">
        <f>IF(Contents!$B$2=2,"Taxes and levies","Налоги и сборы")</f>
        <v>Налоги и сборы</v>
      </c>
      <c r="C108" s="53" t="str">
        <f>IF(Contents!$B$2=2,"RR th.","тыс. руб.")</f>
        <v>тыс. руб.</v>
      </c>
      <c r="D108" s="46" t="s">
        <v>185</v>
      </c>
      <c r="E108" s="46" t="s">
        <v>185</v>
      </c>
      <c r="F108" s="46">
        <v>222471000</v>
      </c>
      <c r="G108" s="104" t="s">
        <v>185</v>
      </c>
      <c r="H108" s="29"/>
      <c r="I108" s="56" t="str">
        <f>IF(Contents!$B$2=2,"BR 30.1","БР 30.1")</f>
        <v>БР 30.1</v>
      </c>
      <c r="K108" s="558">
        <v>3</v>
      </c>
      <c r="M108" s="22"/>
    </row>
    <row r="109" spans="2:13">
      <c r="B109" s="87" t="str">
        <f>IF(Contents!$B$2=2,"Insurance premiums","Страховые взносы")</f>
        <v>Страховые взносы</v>
      </c>
      <c r="C109" s="53" t="str">
        <f>IF(Contents!$B$2=2,"RR th.","тыс. руб.")</f>
        <v>тыс. руб.</v>
      </c>
      <c r="D109" s="46" t="s">
        <v>185</v>
      </c>
      <c r="E109" s="46" t="s">
        <v>185</v>
      </c>
      <c r="F109" s="46" t="s">
        <v>185</v>
      </c>
      <c r="G109" s="104" t="s">
        <v>185</v>
      </c>
      <c r="H109" s="29"/>
      <c r="I109" s="56" t="str">
        <f>IF(Contents!$B$2=2,"BR 30.2","БР 30.2")</f>
        <v>БР 30.2</v>
      </c>
      <c r="K109" s="558"/>
      <c r="M109" s="22"/>
    </row>
    <row r="110" spans="2:13">
      <c r="B110" s="87" t="str">
        <f>IF(Contents!$B$2=2,"Other mandatory payments","Иные обязательные платежи")</f>
        <v>Иные обязательные платежи</v>
      </c>
      <c r="C110" s="53" t="str">
        <f>IF(Contents!$B$2=2,"RR th.","тыс. руб.")</f>
        <v>тыс. руб.</v>
      </c>
      <c r="D110" s="46" t="s">
        <v>185</v>
      </c>
      <c r="E110" s="46" t="s">
        <v>185</v>
      </c>
      <c r="F110" s="46" t="s">
        <v>185</v>
      </c>
      <c r="G110" s="104" t="s">
        <v>185</v>
      </c>
      <c r="H110" s="29"/>
      <c r="I110" s="56" t="str">
        <f>IF(Contents!$B$2=2,"BR 30.3","БР 30.3")</f>
        <v>БР 30.3</v>
      </c>
      <c r="K110" s="558"/>
      <c r="M110" s="22"/>
    </row>
    <row r="111" spans="2:13">
      <c r="B111" s="87"/>
      <c r="C111" s="53"/>
      <c r="D111" s="46"/>
      <c r="E111" s="46"/>
      <c r="F111" s="58"/>
      <c r="G111" s="58"/>
      <c r="H111" s="29"/>
      <c r="I111" s="56"/>
      <c r="K111" s="558"/>
      <c r="M111" s="22"/>
    </row>
    <row r="112" spans="2:13">
      <c r="B112" s="25" t="str">
        <f>IF(Contents!$B$2=2,"Notes:","Примечания:")</f>
        <v>Примечания:</v>
      </c>
      <c r="C112" s="53"/>
      <c r="D112" s="46"/>
      <c r="E112" s="46"/>
      <c r="F112" s="58"/>
      <c r="G112" s="58"/>
      <c r="H112" s="29"/>
      <c r="I112" s="56"/>
      <c r="K112" s="558"/>
      <c r="M112" s="22"/>
    </row>
    <row r="113" spans="2:18">
      <c r="B113" s="26" t="str">
        <f>IF(Contents!$B$2=2,C114, B114)</f>
        <v>Налоги и сборы включают налоги, кроме налога на прибыль, налог на добычу полезных ископаемых, налог на имущество, прочие налоги. Значение приведено на основании Раскрываемой консолидированной финансовой отчетности за 2025 год.</v>
      </c>
      <c r="D113" s="675"/>
      <c r="E113" s="675"/>
      <c r="F113" s="675"/>
      <c r="G113" s="675"/>
      <c r="H113" s="29"/>
      <c r="I113" s="39"/>
      <c r="K113" s="558"/>
      <c r="M113" s="22"/>
    </row>
    <row r="114" spans="2:18">
      <c r="B114" s="115" t="s">
        <v>238</v>
      </c>
      <c r="C114" s="115" t="s">
        <v>239</v>
      </c>
      <c r="D114" s="82"/>
      <c r="E114" s="82"/>
      <c r="F114" s="82"/>
      <c r="G114" s="675"/>
      <c r="H114" s="29"/>
      <c r="I114" s="39"/>
      <c r="K114" s="558"/>
      <c r="M114" s="22"/>
    </row>
    <row r="115" spans="2:18" ht="36">
      <c r="B115" s="52" t="str">
        <f>IF(Contents!$B$2=2,Q115,P115)</f>
        <v>Сумма заявленных требований по судебным спорам с участием эмитента в качестве ответчика</v>
      </c>
      <c r="C115" s="53" t="str">
        <f>IF(Contents!$B$2=2,"RR th.","тыс. руб.")</f>
        <v>тыс. руб.</v>
      </c>
      <c r="D115" s="800" t="s">
        <v>185</v>
      </c>
      <c r="E115" s="800" t="s">
        <v>185</v>
      </c>
      <c r="F115" s="800" t="s">
        <v>185</v>
      </c>
      <c r="G115" s="905">
        <v>0</v>
      </c>
      <c r="H115" s="29"/>
      <c r="I115" s="56" t="str">
        <f>IF(Contents!$B$2=2,"BR 31","БР 31")</f>
        <v>БР 31</v>
      </c>
      <c r="K115" s="558">
        <v>2</v>
      </c>
      <c r="M115" s="22"/>
      <c r="P115" s="117" t="s">
        <v>206</v>
      </c>
      <c r="Q115" s="117" t="s">
        <v>207</v>
      </c>
      <c r="R115" s="117"/>
    </row>
    <row r="116" spans="2:18" ht="36">
      <c r="B116" s="87" t="str">
        <f>IF(Contents!$B$2=2,Q116,P116)</f>
        <v>по делам о предъявлении требований к действующему или бывшему членам органов управления эмитента</v>
      </c>
      <c r="C116" s="53" t="str">
        <f>IF(Contents!$B$2=2,"RR th.","тыс. руб.")</f>
        <v>тыс. руб.</v>
      </c>
      <c r="D116" s="800" t="s">
        <v>185</v>
      </c>
      <c r="E116" s="800" t="s">
        <v>185</v>
      </c>
      <c r="F116" s="800" t="s">
        <v>185</v>
      </c>
      <c r="G116" s="905">
        <v>0</v>
      </c>
      <c r="H116" s="29"/>
      <c r="I116" s="56" t="str">
        <f>IF(Contents!$B$2=2,"BR 31.1","БР 31.1")</f>
        <v>БР 31.1</v>
      </c>
      <c r="K116" s="558"/>
      <c r="M116" s="22"/>
      <c r="P116" s="801" t="s">
        <v>203</v>
      </c>
      <c r="Q116" s="117" t="s">
        <v>208</v>
      </c>
      <c r="R116" s="117"/>
    </row>
    <row r="117" spans="2:18" ht="36">
      <c r="B117" s="87" t="str">
        <f>IF(Contents!$B$2=2,Q117,P117)</f>
        <v>по делам об оспаривании сделок по статьям 173 и 174 Гражданского кодекса Российской Федерации</v>
      </c>
      <c r="C117" s="53" t="str">
        <f>IF(Contents!$B$2=2,"RR th.","тыс. руб.")</f>
        <v>тыс. руб.</v>
      </c>
      <c r="D117" s="800" t="s">
        <v>185</v>
      </c>
      <c r="E117" s="800" t="s">
        <v>185</v>
      </c>
      <c r="F117" s="800" t="s">
        <v>185</v>
      </c>
      <c r="G117" s="905">
        <v>0</v>
      </c>
      <c r="H117" s="29"/>
      <c r="I117" s="56" t="str">
        <f>IF(Contents!$B$2=2,"BR 31.2","БР 31.2")</f>
        <v>БР 31.2</v>
      </c>
      <c r="K117" s="558"/>
      <c r="M117" s="22"/>
      <c r="P117" s="801" t="s">
        <v>204</v>
      </c>
      <c r="Q117" s="117" t="s">
        <v>209</v>
      </c>
      <c r="R117" s="117"/>
    </row>
    <row r="118" spans="2:18" ht="54">
      <c r="B118" s="87" t="str">
        <f>IF(Contents!$B$2=2,Q118,P118)</f>
        <v>по делам об оспаривании решений органов управления эмитента, а также споров с участием эмитента в иных судебных делах, связанных с нарушением корпоративного законодательства</v>
      </c>
      <c r="C118" s="53" t="str">
        <f>IF(Contents!$B$2=2,"RR th.","тыс. руб.")</f>
        <v>тыс. руб.</v>
      </c>
      <c r="D118" s="800" t="s">
        <v>185</v>
      </c>
      <c r="E118" s="800" t="s">
        <v>185</v>
      </c>
      <c r="F118" s="800" t="s">
        <v>185</v>
      </c>
      <c r="G118" s="905">
        <v>0</v>
      </c>
      <c r="H118" s="29"/>
      <c r="I118" s="56" t="str">
        <f>IF(Contents!$B$2=2,"BR 31.3","БР 31.3")</f>
        <v>БР 31.3</v>
      </c>
      <c r="K118" s="558"/>
      <c r="M118" s="22"/>
      <c r="P118" s="801" t="s">
        <v>205</v>
      </c>
      <c r="Q118" s="117" t="s">
        <v>210</v>
      </c>
      <c r="R118" s="117"/>
    </row>
    <row r="119" spans="2:18" ht="36">
      <c r="B119" s="52" t="str">
        <f>IF(Contents!$B$2=2,Q119,P119)</f>
        <v>Сумма удовлетворенных требований по судебным спорам с участием эмитента в качестве ответчика</v>
      </c>
      <c r="C119" s="53" t="str">
        <f>IF(Contents!$B$2=2,"RR th.","тыс. руб.")</f>
        <v>тыс. руб.</v>
      </c>
      <c r="D119" s="800" t="s">
        <v>185</v>
      </c>
      <c r="E119" s="800" t="s">
        <v>185</v>
      </c>
      <c r="F119" s="800" t="s">
        <v>185</v>
      </c>
      <c r="G119" s="905">
        <v>0</v>
      </c>
      <c r="H119" s="29"/>
      <c r="I119" s="56" t="str">
        <f>IF(Contents!$B$2=2,"BR 32","БР 32")</f>
        <v>БР 32</v>
      </c>
      <c r="K119" s="558">
        <v>2</v>
      </c>
      <c r="M119" s="22"/>
      <c r="P119" s="117" t="s">
        <v>201</v>
      </c>
      <c r="Q119" s="117" t="s">
        <v>211</v>
      </c>
      <c r="R119" s="117"/>
    </row>
    <row r="120" spans="2:18" ht="36">
      <c r="B120" s="87" t="str">
        <f>IF(Contents!$B$2=2,Q120,P120)</f>
        <v>по делам о предъявлении требований к действующему или бывшему членам органов управления эмитента</v>
      </c>
      <c r="C120" s="53" t="str">
        <f>IF(Contents!$B$2=2,"RR th.","тыс. руб.")</f>
        <v>тыс. руб.</v>
      </c>
      <c r="D120" s="800" t="s">
        <v>185</v>
      </c>
      <c r="E120" s="800" t="s">
        <v>185</v>
      </c>
      <c r="F120" s="800" t="s">
        <v>185</v>
      </c>
      <c r="G120" s="905">
        <v>0</v>
      </c>
      <c r="H120" s="29"/>
      <c r="I120" s="56" t="str">
        <f>IF(Contents!$B$2=2,"BR 32.1","БР 32.1")</f>
        <v>БР 32.1</v>
      </c>
      <c r="K120" s="558"/>
      <c r="M120" s="22"/>
      <c r="P120" s="801" t="s">
        <v>203</v>
      </c>
      <c r="Q120" s="117" t="s">
        <v>208</v>
      </c>
      <c r="R120" s="117"/>
    </row>
    <row r="121" spans="2:18" ht="36">
      <c r="B121" s="87" t="str">
        <f>IF(Contents!$B$2=2,Q121,P121)</f>
        <v>по делам об оспаривании сделок по статьям 173 и 174 Гражданского кодекса Российской Федерации</v>
      </c>
      <c r="C121" s="53" t="str">
        <f>IF(Contents!$B$2=2,"RR th.","тыс. руб.")</f>
        <v>тыс. руб.</v>
      </c>
      <c r="D121" s="800" t="s">
        <v>185</v>
      </c>
      <c r="E121" s="800" t="s">
        <v>185</v>
      </c>
      <c r="F121" s="800" t="s">
        <v>185</v>
      </c>
      <c r="G121" s="905">
        <v>0</v>
      </c>
      <c r="H121" s="29"/>
      <c r="I121" s="56" t="str">
        <f>IF(Contents!$B$2=2,"BR 32.2","БР 32.2")</f>
        <v>БР 32.2</v>
      </c>
      <c r="K121" s="558"/>
      <c r="M121" s="22"/>
      <c r="P121" s="801" t="s">
        <v>204</v>
      </c>
      <c r="Q121" s="117" t="s">
        <v>209</v>
      </c>
      <c r="R121" s="117"/>
    </row>
    <row r="122" spans="2:18" ht="54">
      <c r="B122" s="87" t="str">
        <f>IF(Contents!$B$2=2,Q122,P122)</f>
        <v>по делам об оспаривании решений органов управления эмитента, а также споров с участием эмитента в иных судебных делах, связанных с нарушением корпоративного законодательства</v>
      </c>
      <c r="C122" s="53" t="str">
        <f>IF(Contents!$B$2=2,"RR th.","тыс. руб.")</f>
        <v>тыс. руб.</v>
      </c>
      <c r="D122" s="800" t="s">
        <v>185</v>
      </c>
      <c r="E122" s="800" t="s">
        <v>185</v>
      </c>
      <c r="F122" s="800" t="s">
        <v>185</v>
      </c>
      <c r="G122" s="905">
        <v>0</v>
      </c>
      <c r="H122" s="29"/>
      <c r="I122" s="56" t="str">
        <f>IF(Contents!$B$2=2,"BR 32.3","БР 32.3")</f>
        <v>БР 32.3</v>
      </c>
      <c r="K122" s="558"/>
      <c r="M122" s="22"/>
      <c r="P122" s="801" t="s">
        <v>205</v>
      </c>
      <c r="Q122" s="117" t="s">
        <v>210</v>
      </c>
      <c r="R122" s="117"/>
    </row>
    <row r="123" spans="2:18" ht="72">
      <c r="B123" s="52" t="str">
        <f>IF(Contents!$B$2=2,Q123,P123)</f>
        <v>Сумма штрафов, наложенных на организацию и должностных лиц в связи с нарушением требований законодательства Российской Федерации об акционерных обществах и ценных бумагах, в сфере корпоративных отношений в акционерных обществах</v>
      </c>
      <c r="C123" s="53" t="str">
        <f>IF(Contents!$B$2=2,"RR th.","тыс. руб.")</f>
        <v>тыс. руб.</v>
      </c>
      <c r="D123" s="800" t="s">
        <v>185</v>
      </c>
      <c r="E123" s="800" t="s">
        <v>185</v>
      </c>
      <c r="F123" s="800" t="s">
        <v>185</v>
      </c>
      <c r="G123" s="905" t="s">
        <v>185</v>
      </c>
      <c r="H123" s="29"/>
      <c r="I123" s="56" t="str">
        <f>IF(Contents!$B$2=2,"BR 33","БР 33")</f>
        <v>БР 33</v>
      </c>
      <c r="K123" s="558">
        <v>2</v>
      </c>
      <c r="M123" s="22"/>
      <c r="P123" s="117" t="s">
        <v>202</v>
      </c>
      <c r="Q123" s="117" t="s">
        <v>212</v>
      </c>
      <c r="R123" s="117"/>
    </row>
    <row r="124" spans="2:18">
      <c r="B124" s="30"/>
      <c r="C124" s="31"/>
      <c r="D124" s="748"/>
      <c r="E124" s="748"/>
      <c r="F124" s="748"/>
      <c r="G124" s="748"/>
      <c r="H124" s="32"/>
      <c r="I124" s="592"/>
      <c r="J124" s="592"/>
      <c r="K124" s="592"/>
      <c r="L124" s="592"/>
      <c r="M124" s="592"/>
      <c r="N124" s="592"/>
      <c r="O124" s="32"/>
    </row>
    <row r="125" spans="2:18">
      <c r="B125" s="33"/>
      <c r="M125" s="589"/>
      <c r="N125" s="589"/>
    </row>
    <row r="126" spans="2:18">
      <c r="B126" s="141" t="str">
        <f>IF(Contents!$B$2=2,"For more information, see the Sustainable Development Reports for 2020-2025.","Для получения дополнительной информации см. Отчеты об устойчивом развитии за 2020-2025 гг.")</f>
        <v>Для получения дополнительной информации см. Отчеты об устойчивом развитии за 2020-2025 гг.</v>
      </c>
      <c r="M126" s="589"/>
      <c r="N126" s="589"/>
    </row>
    <row r="128" spans="2:18">
      <c r="B128" s="447" t="str">
        <f>IF(Contents!$B$2=2,"The XBRL taxonomy of the Bank of Russia was developed in order to prepare information in the field of SD and its disclosure by issuers of equity securities whose securities are included in the quotation lists of the first or second levels","Таксономия XBRL Банка России разработана в целях подготовки информации в области УР и ее раскрытия эмитентами эмиссионных ценных бумаг, ценные бумаги которых включены в котировальные списки первого или второго уровней")</f>
        <v>Таксономия XBRL Банка России разработана в целях подготовки информации в области УР и ее раскрытия эмитентами эмиссионных ценных бумаг, ценные бумаги которых включены в котировальные списки первого или второго уровней</v>
      </c>
    </row>
  </sheetData>
  <hyperlinks>
    <hyperlink ref="B1" location="Contents!A1" display="← Back to Contents"/>
    <hyperlink ref="B126" r:id="rId1" display="https://www.novatek.ru/en/development/archive/"/>
    <hyperlink ref="B3" location="'Таксономия Банка России'!C8" display="'Таксономия Банка России'!C8"/>
    <hyperlink ref="B4" location="'Таксономия Банка России'!C85" display="'Таксономия Банка России'!C85"/>
    <hyperlink ref="C3" location="'Таксономия Банка России'!C104" display="'Таксономия Банка России'!C10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42EC16B9C2B794478ACA337FAA55F7CF" ma:contentTypeVersion="" ma:contentTypeDescription="Создание документа." ma:contentTypeScope="" ma:versionID="74d7a7c647c63d4daf316f5678878614">
  <xsd:schema xmlns:xsd="http://www.w3.org/2001/XMLSchema" xmlns:xs="http://www.w3.org/2001/XMLSchema" xmlns:p="http://schemas.microsoft.com/office/2006/metadata/properties" targetNamespace="http://schemas.microsoft.com/office/2006/metadata/properties" ma:root="true" ma:fieldsID="a83f6b074ceb7219e5fa2673c690809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55175-F507-4B70-BC5F-D4F9B10C1B2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AFD788D-140E-4D19-A216-C033E3F025D0}">
  <ds:schemaRefs>
    <ds:schemaRef ds:uri="http://schemas.microsoft.com/sharepoint/v3/contenttype/forms"/>
  </ds:schemaRefs>
</ds:datastoreItem>
</file>

<file path=customXml/itemProps3.xml><?xml version="1.0" encoding="utf-8"?>
<ds:datastoreItem xmlns:ds="http://schemas.openxmlformats.org/officeDocument/2006/customXml" ds:itemID="{F0F89AD5-A5A4-439D-A319-E2CE5065F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6</vt:i4>
      </vt:variant>
    </vt:vector>
  </HeadingPairs>
  <TitlesOfParts>
    <vt:vector size="16" baseType="lpstr">
      <vt:lpstr>Contents</vt:lpstr>
      <vt:lpstr>Climate</vt:lpstr>
      <vt:lpstr>Environment</vt:lpstr>
      <vt:lpstr>Personnel</vt:lpstr>
      <vt:lpstr>Occupational health and safety</vt:lpstr>
      <vt:lpstr>Local communities</vt:lpstr>
      <vt:lpstr>Corporate governance</vt:lpstr>
      <vt:lpstr>СОКБ</vt:lpstr>
      <vt:lpstr>Таксономия Банка России</vt:lpstr>
      <vt:lpstr>Corporate documents</vt:lpstr>
      <vt:lpstr>Climate!_ftn1</vt:lpstr>
      <vt:lpstr>Climate!_ftnref1</vt:lpstr>
      <vt:lpstr>Personnel!_Hlk220355198</vt:lpstr>
      <vt:lpstr>Climate!_Hlk222494672</vt:lpstr>
      <vt:lpstr>Personnel!_Ref221003855</vt:lpstr>
      <vt:lpstr>Personnel!_Ref221003990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Леонова Глафира Михайловна</dc:creator>
  <cp:lastModifiedBy>Семилетопуло Елизавета Константиновна</cp:lastModifiedBy>
  <cp:lastPrinted>2020-08-25T10:54:56Z</cp:lastPrinted>
  <dcterms:created xsi:type="dcterms:W3CDTF">2020-02-27T14:09:02Z</dcterms:created>
  <dcterms:modified xsi:type="dcterms:W3CDTF">2026-04-27T10:58:26Z</dcterms:modified>
</cp:coreProperties>
</file>