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Contents" sheetId="1" r:id="rId1"/>
    <sheet name="Climate, Environment" sheetId="2" r:id="rId2"/>
    <sheet name="Social" sheetId="3" r:id="rId3"/>
    <sheet name="Corporate governance" sheetId="4" r:id="rId4"/>
    <sheet name="Other" sheetId="5" r:id="rId5"/>
    <sheet name="Corporate documents" sheetId="6" r:id="rId6"/>
  </sheets>
  <definedNames>
    <definedName name="_xlnm.Print_Area" localSheetId="1">'Climate, Environment'!$B$1:$H$106</definedName>
    <definedName name="_xlnm.Print_Area" localSheetId="3">'Corporate governance'!$A$1:$J$67</definedName>
    <definedName name="_xlnm.Print_Area" localSheetId="4">'Other'!$A$1:$J$30</definedName>
    <definedName name="_xlnm.Print_Area" localSheetId="2">'Social'!$A$1:$J$165</definedName>
  </definedNames>
  <calcPr fullCalcOnLoad="1"/>
</workbook>
</file>

<file path=xl/sharedStrings.xml><?xml version="1.0" encoding="utf-8"?>
<sst xmlns="http://schemas.openxmlformats.org/spreadsheetml/2006/main" count="809" uniqueCount="78">
  <si>
    <t>%</t>
  </si>
  <si>
    <t>2017</t>
  </si>
  <si>
    <t>25</t>
  </si>
  <si>
    <t>2016</t>
  </si>
  <si>
    <t>2015</t>
  </si>
  <si>
    <t>75</t>
  </si>
  <si>
    <t>#</t>
  </si>
  <si>
    <t>74</t>
  </si>
  <si>
    <t>26</t>
  </si>
  <si>
    <t>+7 (495) 730 60 13</t>
  </si>
  <si>
    <t>ir@novatek.ru</t>
  </si>
  <si>
    <t>← Back to Contents</t>
  </si>
  <si>
    <t>n/a</t>
  </si>
  <si>
    <t>624</t>
  </si>
  <si>
    <t xml:space="preserve">The 2020 ESG Databook includes X new metrics such as Scope 1 emissions breakdown by source and by type of facility, Scope 3 emissions from the use of Company's production volumes, methane emissions per unit of production, </t>
  </si>
  <si>
    <t>N/a</t>
  </si>
  <si>
    <t>No</t>
  </si>
  <si>
    <t>GRI 305-7</t>
  </si>
  <si>
    <t>GRI 307-1</t>
  </si>
  <si>
    <t>GRI 304-2</t>
  </si>
  <si>
    <t>GRI 304-3</t>
  </si>
  <si>
    <t>GRI 403-8</t>
  </si>
  <si>
    <t>GRI 305-1</t>
  </si>
  <si>
    <t>GRI 302-1</t>
  </si>
  <si>
    <t>GRI 302-3</t>
  </si>
  <si>
    <t>GRI 302-4, 302-5</t>
  </si>
  <si>
    <t>GRI OG3</t>
  </si>
  <si>
    <t>GRI 303-4</t>
  </si>
  <si>
    <t>GRI 303-3</t>
  </si>
  <si>
    <t>GRI 303-5</t>
  </si>
  <si>
    <t>SASB EM-EP-160a.2</t>
  </si>
  <si>
    <t>GRI 306-4</t>
  </si>
  <si>
    <t>GRI 306-3</t>
  </si>
  <si>
    <t>GRI 305-7,
SASB EM-EP-120a.1</t>
  </si>
  <si>
    <t>GRI 305-4</t>
  </si>
  <si>
    <t>SASB EM-EP-110a.1</t>
  </si>
  <si>
    <t>GRI 305-1,
EM-EP-110a.2</t>
  </si>
  <si>
    <t>GRI OG6</t>
  </si>
  <si>
    <t>GRI OG2</t>
  </si>
  <si>
    <t>GRI 204-1</t>
  </si>
  <si>
    <t>GRI 201-1</t>
  </si>
  <si>
    <t>GRI 102-22</t>
  </si>
  <si>
    <t>GRI 102-41</t>
  </si>
  <si>
    <t>GRI 102-17</t>
  </si>
  <si>
    <t>GRI 405-1</t>
  </si>
  <si>
    <t>GRI 102-7</t>
  </si>
  <si>
    <t>GRI 102-8</t>
  </si>
  <si>
    <t>GRI 401-1</t>
  </si>
  <si>
    <t>GRI 401-3</t>
  </si>
  <si>
    <t>GRI 202-1</t>
  </si>
  <si>
    <t>GRI 404-1</t>
  </si>
  <si>
    <t>GRI 404-3</t>
  </si>
  <si>
    <t>GRI 403-6</t>
  </si>
  <si>
    <t>GRI 403-9</t>
  </si>
  <si>
    <t>GRI 403-5</t>
  </si>
  <si>
    <t>GRI 403-10</t>
  </si>
  <si>
    <t>GRI OG5, SASB. EM-EP-140a.2.</t>
  </si>
  <si>
    <t>0,976</t>
  </si>
  <si>
    <t>0,933</t>
  </si>
  <si>
    <t>English</t>
  </si>
  <si>
    <t>Русский</t>
  </si>
  <si>
    <t>Language / Язык</t>
  </si>
  <si>
    <t>GRI OG7</t>
  </si>
  <si>
    <t>1.</t>
  </si>
  <si>
    <t>2.</t>
  </si>
  <si>
    <t>3.</t>
  </si>
  <si>
    <t>4.</t>
  </si>
  <si>
    <t>5.</t>
  </si>
  <si>
    <t>EM-EP-
320a.1</t>
  </si>
  <si>
    <t>GRI 305-1, 
OG 6, SASB EM-EP-110a.1</t>
  </si>
  <si>
    <t>GRI 305-2,
OG 6</t>
  </si>
  <si>
    <t>GRI 305-3, 
OG 6</t>
  </si>
  <si>
    <t>GRI OG5</t>
  </si>
  <si>
    <t>GRI 102-34</t>
  </si>
  <si>
    <t>GRI 403-7</t>
  </si>
  <si>
    <t>GRI 203-1</t>
  </si>
  <si>
    <t>ссылка</t>
  </si>
  <si>
    <t>link</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</si>
</sst>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0;[Red]\(#,##0\)"/>
    <numFmt numFmtId="175" formatCode="#,##0;[Red]#,##0"/>
    <numFmt numFmtId="176" formatCode="#,##0.00;[Red]#,##0.00"/>
    <numFmt numFmtId="177" formatCode="0.0"/>
    <numFmt numFmtId="178" formatCode="#,##0.000;[Red]#,##0.000"/>
    <numFmt numFmtId="179" formatCode="0.000"/>
    <numFmt numFmtId="180" formatCode="0.0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Red]\(#,##0.0\)"/>
    <numFmt numFmtId="186" formatCode="#,##0.00;[Red]\(#,##0.00\)"/>
    <numFmt numFmtId="187" formatCode="#,##0.0"/>
    <numFmt numFmtId="188" formatCode="#,##0.0;[Red]#,##0.0"/>
    <numFmt numFmtId="189" formatCode="_-* #,##0_р_._-;\-* #,##0_р_._-;_-* &quot;-&quot;??_р_._-;_-@_-"/>
    <numFmt numFmtId="190" formatCode="_-* #,##0.0_-;\-* #,##0.0_-;_-* &quot;-&quot;??_-;_-@_-"/>
    <numFmt numFmtId="191" formatCode="_-* #,##0_-;\-* #,##0_-;_-* &quot;-&quot;??_-;_-@_-"/>
    <numFmt numFmtId="192" formatCode="#,##0.0000;[Red]#,##0.0000"/>
    <numFmt numFmtId="193" formatCode="0.00000"/>
    <numFmt numFmtId="194" formatCode="#,##0.000"/>
    <numFmt numFmtId="195" formatCode="0.0%"/>
    <numFmt numFmtId="196" formatCode="0.000%"/>
    <numFmt numFmtId="197" formatCode="0.0000%"/>
    <numFmt numFmtId="198" formatCode="[$-409]dddd\,\ mmmm\ d\,\ yyyy"/>
    <numFmt numFmtId="199" formatCode="[$-409]h:mm:ss\ AM/PM"/>
    <numFmt numFmtId="200" formatCode="&quot;Yes&quot;;&quot;Yes&quot;;&quot;No&quot;"/>
    <numFmt numFmtId="201" formatCode="&quot;True&quot;;&quot;True&quot;;&quot;False&quot;"/>
    <numFmt numFmtId="202" formatCode="&quot;On&quot;;&quot;On&quot;;&quot;Off&quot;"/>
    <numFmt numFmtId="203" formatCode="[$€-2]\ #,##0.00_);[Red]\([$€-2]\ #,##0.00\)"/>
    <numFmt numFmtId="204" formatCode="#,##0.0;\-#,##0.0"/>
    <numFmt numFmtId="205" formatCode="0.00000000"/>
    <numFmt numFmtId="206" formatCode="0.0000000"/>
    <numFmt numFmtId="207" formatCode="0.000000"/>
    <numFmt numFmtId="208" formatCode="#,##0.000;[Red]\(#,##0.000\)"/>
    <numFmt numFmtId="209" formatCode="#,##0.0000"/>
    <numFmt numFmtId="210" formatCode="#,##0.00000"/>
  </numFmts>
  <fonts count="153">
    <font>
      <sz val="11"/>
      <color theme="1"/>
      <name val="Calibri"/>
      <family val="2"/>
    </font>
    <font>
      <sz val="11"/>
      <color indexed="8"/>
      <name val="Calibri"/>
      <family val="2"/>
    </font>
    <font>
      <b/>
      <sz val="10"/>
      <color indexed="8"/>
      <name val="Arial"/>
      <family val="2"/>
    </font>
    <font>
      <i/>
      <sz val="12"/>
      <name val="Arial"/>
      <family val="2"/>
    </font>
    <font>
      <sz val="12"/>
      <name val="Arial"/>
      <family val="2"/>
    </font>
    <font>
      <b/>
      <sz val="14"/>
      <name val="Arial"/>
      <family val="2"/>
    </font>
    <font>
      <i/>
      <sz val="14"/>
      <name val="Arial"/>
      <family val="2"/>
    </font>
    <font>
      <sz val="14"/>
      <name val="Arial"/>
      <family val="2"/>
    </font>
    <font>
      <sz val="14"/>
      <color indexed="8"/>
      <name val="Arial"/>
      <family val="2"/>
    </font>
    <font>
      <i/>
      <sz val="10"/>
      <name val="Arial"/>
      <family val="2"/>
    </font>
    <font>
      <i/>
      <u val="single"/>
      <sz val="10"/>
      <name val="Arial"/>
      <family val="2"/>
    </font>
    <font>
      <sz val="10"/>
      <name val="Arial"/>
      <family val="2"/>
    </font>
    <font>
      <b/>
      <sz val="10"/>
      <name val="Arial"/>
      <family val="2"/>
    </font>
    <font>
      <b/>
      <i/>
      <sz val="14"/>
      <name val="Arial"/>
      <family val="2"/>
    </font>
    <font>
      <sz val="10"/>
      <color indexed="8"/>
      <name val="Arial"/>
      <family val="2"/>
    </font>
    <font>
      <b/>
      <sz val="18"/>
      <name val="Arial"/>
      <family val="2"/>
    </font>
    <font>
      <b/>
      <sz val="24"/>
      <name val="Arial"/>
      <family val="2"/>
    </font>
    <font>
      <b/>
      <u val="single"/>
      <sz val="1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30"/>
      <name val="Arial"/>
      <family val="2"/>
    </font>
    <font>
      <sz val="11"/>
      <color indexed="30"/>
      <name val="Arial"/>
      <family val="2"/>
    </font>
    <font>
      <sz val="11"/>
      <color indexed="8"/>
      <name val="Univers for BP"/>
      <family val="2"/>
    </font>
    <font>
      <b/>
      <sz val="11"/>
      <color indexed="8"/>
      <name val="Univers for BP"/>
      <family val="2"/>
    </font>
    <font>
      <b/>
      <sz val="14"/>
      <color indexed="8"/>
      <name val="Arial"/>
      <family val="2"/>
    </font>
    <font>
      <u val="single"/>
      <sz val="11"/>
      <color indexed="30"/>
      <name val="Arial"/>
      <family val="2"/>
    </font>
    <font>
      <u val="single"/>
      <sz val="14"/>
      <color indexed="30"/>
      <name val="Arial"/>
      <family val="2"/>
    </font>
    <font>
      <sz val="14"/>
      <color indexed="8"/>
      <name val="Calibri"/>
      <family val="2"/>
    </font>
    <font>
      <sz val="14"/>
      <color indexed="9"/>
      <name val="Arial"/>
      <family val="2"/>
    </font>
    <font>
      <b/>
      <sz val="14"/>
      <color indexed="9"/>
      <name val="Arial"/>
      <family val="2"/>
    </font>
    <font>
      <sz val="14"/>
      <color indexed="10"/>
      <name val="Arial"/>
      <family val="2"/>
    </font>
    <font>
      <sz val="14"/>
      <color indexed="10"/>
      <name val="Calibri"/>
      <family val="2"/>
    </font>
    <font>
      <u val="single"/>
      <sz val="14"/>
      <color indexed="8"/>
      <name val="Arial"/>
      <family val="2"/>
    </font>
    <font>
      <i/>
      <sz val="14"/>
      <color indexed="30"/>
      <name val="Arial"/>
      <family val="2"/>
    </font>
    <font>
      <i/>
      <sz val="14"/>
      <color indexed="9"/>
      <name val="Arial"/>
      <family val="2"/>
    </font>
    <font>
      <i/>
      <sz val="14"/>
      <color indexed="8"/>
      <name val="Arial"/>
      <family val="2"/>
    </font>
    <font>
      <i/>
      <sz val="14"/>
      <color indexed="10"/>
      <name val="Arial"/>
      <family val="2"/>
    </font>
    <font>
      <i/>
      <sz val="12"/>
      <color indexed="9"/>
      <name val="Arial"/>
      <family val="2"/>
    </font>
    <font>
      <u val="single"/>
      <sz val="14"/>
      <color indexed="30"/>
      <name val="Calibri"/>
      <family val="2"/>
    </font>
    <font>
      <sz val="14"/>
      <color indexed="9"/>
      <name val="Calibri"/>
      <family val="2"/>
    </font>
    <font>
      <b/>
      <sz val="14"/>
      <color indexed="8"/>
      <name val="Calibri"/>
      <family val="2"/>
    </font>
    <font>
      <sz val="14"/>
      <color indexed="8"/>
      <name val="Tahoma"/>
      <family val="2"/>
    </font>
    <font>
      <b/>
      <sz val="12"/>
      <color indexed="9"/>
      <name val="Arial"/>
      <family val="2"/>
    </font>
    <font>
      <b/>
      <sz val="10"/>
      <color indexed="9"/>
      <name val="Arial"/>
      <family val="2"/>
    </font>
    <font>
      <b/>
      <sz val="14"/>
      <color indexed="10"/>
      <name val="Arial"/>
      <family val="2"/>
    </font>
    <font>
      <u val="single"/>
      <sz val="10"/>
      <color indexed="30"/>
      <name val="Calibri"/>
      <family val="2"/>
    </font>
    <font>
      <sz val="10"/>
      <color indexed="8"/>
      <name val="Calibri"/>
      <family val="2"/>
    </font>
    <font>
      <i/>
      <sz val="10"/>
      <color indexed="10"/>
      <name val="Arial"/>
      <family val="2"/>
    </font>
    <font>
      <sz val="10"/>
      <color indexed="9"/>
      <name val="Arial"/>
      <family val="2"/>
    </font>
    <font>
      <u val="single"/>
      <sz val="14"/>
      <color indexed="10"/>
      <name val="Arial"/>
      <family val="2"/>
    </font>
    <font>
      <u val="single"/>
      <sz val="14"/>
      <color indexed="8"/>
      <name val="Calibri"/>
      <family val="2"/>
    </font>
    <font>
      <b/>
      <sz val="36"/>
      <color indexed="30"/>
      <name val="Arial Black"/>
      <family val="2"/>
    </font>
    <font>
      <sz val="18"/>
      <color indexed="8"/>
      <name val="Calibri"/>
      <family val="2"/>
    </font>
    <font>
      <sz val="18"/>
      <color indexed="30"/>
      <name val="Arial"/>
      <family val="2"/>
    </font>
    <font>
      <i/>
      <sz val="10"/>
      <color indexed="8"/>
      <name val="Arial"/>
      <family val="2"/>
    </font>
    <font>
      <i/>
      <sz val="10"/>
      <color indexed="9"/>
      <name val="Arial"/>
      <family val="2"/>
    </font>
    <font>
      <sz val="12"/>
      <color indexed="8"/>
      <name val="Arial"/>
      <family val="2"/>
    </font>
    <font>
      <sz val="10"/>
      <color indexed="9"/>
      <name val="Calibri"/>
      <family val="2"/>
    </font>
    <font>
      <sz val="10"/>
      <color indexed="10"/>
      <name val="Calibri"/>
      <family val="2"/>
    </font>
    <font>
      <sz val="12"/>
      <color indexed="9"/>
      <name val="Arial"/>
      <family val="2"/>
    </font>
    <font>
      <sz val="12"/>
      <color indexed="8"/>
      <name val="Calibri"/>
      <family val="2"/>
    </font>
    <font>
      <sz val="12"/>
      <color indexed="10"/>
      <name val="Arial"/>
      <family val="2"/>
    </font>
    <font>
      <u val="single"/>
      <sz val="12"/>
      <color indexed="30"/>
      <name val="Arial"/>
      <family val="2"/>
    </font>
    <font>
      <u val="single"/>
      <sz val="18"/>
      <color indexed="30"/>
      <name val="Arial"/>
      <family val="2"/>
    </font>
    <font>
      <b/>
      <u val="single"/>
      <sz val="18"/>
      <name val="Calibri"/>
      <family val="2"/>
    </font>
    <font>
      <b/>
      <sz val="22"/>
      <color indexed="30"/>
      <name val="Arial"/>
      <family val="2"/>
    </font>
    <font>
      <b/>
      <sz val="24"/>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55CAB"/>
      <name val="Arial"/>
      <family val="2"/>
    </font>
    <font>
      <sz val="11"/>
      <color rgb="FF055CAB"/>
      <name val="Arial"/>
      <family val="2"/>
    </font>
    <font>
      <sz val="11"/>
      <color theme="1"/>
      <name val="Univers for BP"/>
      <family val="2"/>
    </font>
    <font>
      <b/>
      <sz val="11"/>
      <color theme="1"/>
      <name val="Univers for BP"/>
      <family val="2"/>
    </font>
    <font>
      <b/>
      <sz val="14"/>
      <color theme="1"/>
      <name val="Arial"/>
      <family val="2"/>
    </font>
    <font>
      <u val="single"/>
      <sz val="11"/>
      <color theme="10"/>
      <name val="Arial"/>
      <family val="2"/>
    </font>
    <font>
      <u val="single"/>
      <sz val="11"/>
      <color rgb="FF055CAB"/>
      <name val="Arial"/>
      <family val="2"/>
    </font>
    <font>
      <u val="single"/>
      <sz val="14"/>
      <color theme="10"/>
      <name val="Arial"/>
      <family val="2"/>
    </font>
    <font>
      <sz val="14"/>
      <color theme="1"/>
      <name val="Calibri"/>
      <family val="2"/>
    </font>
    <font>
      <sz val="14"/>
      <color theme="0"/>
      <name val="Arial"/>
      <family val="2"/>
    </font>
    <font>
      <b/>
      <sz val="14"/>
      <color theme="0"/>
      <name val="Arial"/>
      <family val="2"/>
    </font>
    <font>
      <sz val="14"/>
      <color rgb="FFFF0000"/>
      <name val="Arial"/>
      <family val="2"/>
    </font>
    <font>
      <sz val="14"/>
      <color rgb="FFFF0000"/>
      <name val="Calibri"/>
      <family val="2"/>
    </font>
    <font>
      <sz val="14"/>
      <color theme="1"/>
      <name val="Arial"/>
      <family val="2"/>
    </font>
    <font>
      <u val="single"/>
      <sz val="14"/>
      <color theme="1"/>
      <name val="Arial"/>
      <family val="2"/>
    </font>
    <font>
      <i/>
      <sz val="14"/>
      <color theme="10"/>
      <name val="Arial"/>
      <family val="2"/>
    </font>
    <font>
      <i/>
      <sz val="14"/>
      <color theme="0"/>
      <name val="Arial"/>
      <family val="2"/>
    </font>
    <font>
      <i/>
      <sz val="14"/>
      <color theme="1"/>
      <name val="Arial"/>
      <family val="2"/>
    </font>
    <font>
      <i/>
      <sz val="14"/>
      <color rgb="FFFF0000"/>
      <name val="Arial"/>
      <family val="2"/>
    </font>
    <font>
      <i/>
      <sz val="12"/>
      <color theme="0"/>
      <name val="Arial"/>
      <family val="2"/>
    </font>
    <font>
      <u val="single"/>
      <sz val="14"/>
      <color theme="10"/>
      <name val="Calibri"/>
      <family val="2"/>
    </font>
    <font>
      <sz val="14"/>
      <color theme="0"/>
      <name val="Calibri"/>
      <family val="2"/>
    </font>
    <font>
      <b/>
      <sz val="14"/>
      <color theme="1"/>
      <name val="Calibri"/>
      <family val="2"/>
    </font>
    <font>
      <sz val="14"/>
      <color theme="1"/>
      <name val="Tahoma"/>
      <family val="2"/>
    </font>
    <font>
      <b/>
      <sz val="12"/>
      <color theme="0"/>
      <name val="Arial"/>
      <family val="2"/>
    </font>
    <font>
      <b/>
      <sz val="10"/>
      <color theme="0"/>
      <name val="Arial"/>
      <family val="2"/>
    </font>
    <font>
      <b/>
      <sz val="14"/>
      <color rgb="FFFF0000"/>
      <name val="Arial"/>
      <family val="2"/>
    </font>
    <font>
      <u val="single"/>
      <sz val="10"/>
      <color theme="10"/>
      <name val="Calibri"/>
      <family val="2"/>
    </font>
    <font>
      <b/>
      <sz val="10"/>
      <color theme="1"/>
      <name val="Arial"/>
      <family val="2"/>
    </font>
    <font>
      <sz val="10"/>
      <color theme="1"/>
      <name val="Calibri"/>
      <family val="2"/>
    </font>
    <font>
      <i/>
      <sz val="10"/>
      <color rgb="FFFF0000"/>
      <name val="Arial"/>
      <family val="2"/>
    </font>
    <font>
      <sz val="10"/>
      <color theme="0"/>
      <name val="Arial"/>
      <family val="2"/>
    </font>
    <font>
      <u val="single"/>
      <sz val="14"/>
      <color rgb="FFFF0000"/>
      <name val="Arial"/>
      <family val="2"/>
    </font>
    <font>
      <u val="single"/>
      <sz val="14"/>
      <color theme="1"/>
      <name val="Calibri"/>
      <family val="2"/>
    </font>
    <font>
      <b/>
      <sz val="36"/>
      <color rgb="FF0070C0"/>
      <name val="Arial Black"/>
      <family val="2"/>
    </font>
    <font>
      <sz val="18"/>
      <color theme="1"/>
      <name val="Calibri"/>
      <family val="2"/>
    </font>
    <font>
      <sz val="18"/>
      <color theme="10"/>
      <name val="Arial"/>
      <family val="2"/>
    </font>
    <font>
      <i/>
      <sz val="10"/>
      <color theme="1"/>
      <name val="Arial"/>
      <family val="2"/>
    </font>
    <font>
      <sz val="10"/>
      <color theme="1"/>
      <name val="Arial"/>
      <family val="2"/>
    </font>
    <font>
      <i/>
      <sz val="10"/>
      <color theme="0"/>
      <name val="Arial"/>
      <family val="2"/>
    </font>
    <font>
      <sz val="10"/>
      <color rgb="FF000000"/>
      <name val="Calibri"/>
      <family val="2"/>
    </font>
    <font>
      <sz val="12"/>
      <color theme="1"/>
      <name val="Arial"/>
      <family val="2"/>
    </font>
    <font>
      <sz val="10"/>
      <color theme="0"/>
      <name val="Calibri"/>
      <family val="2"/>
    </font>
    <font>
      <sz val="10"/>
      <color rgb="FFFF0000"/>
      <name val="Calibri"/>
      <family val="2"/>
    </font>
    <font>
      <sz val="12"/>
      <color theme="0"/>
      <name val="Arial"/>
      <family val="2"/>
    </font>
    <font>
      <sz val="12"/>
      <color theme="1"/>
      <name val="Calibri"/>
      <family val="2"/>
    </font>
    <font>
      <sz val="12"/>
      <color rgb="FFFF0000"/>
      <name val="Arial"/>
      <family val="2"/>
    </font>
    <font>
      <u val="single"/>
      <sz val="12"/>
      <color theme="10"/>
      <name val="Arial"/>
      <family val="2"/>
    </font>
    <font>
      <u val="single"/>
      <sz val="18"/>
      <color theme="10"/>
      <name val="Arial"/>
      <family val="2"/>
    </font>
    <font>
      <b/>
      <sz val="24"/>
      <color theme="1"/>
      <name val="Calibri"/>
      <family val="2"/>
    </font>
    <font>
      <b/>
      <sz val="22"/>
      <color rgb="FF055CAB"/>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3F79BD"/>
        <bgColor indexed="64"/>
      </patternFill>
    </fill>
    <fill>
      <patternFill patternType="solid">
        <fgColor rgb="FF859DC0"/>
        <bgColor indexed="64"/>
      </patternFill>
    </fill>
    <fill>
      <patternFill patternType="solid">
        <fgColor theme="2"/>
        <bgColor indexed="64"/>
      </patternFill>
    </fill>
    <fill>
      <patternFill patternType="solid">
        <fgColor rgb="FF92D050"/>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tint="-0.09996999800205231"/>
        <bgColor indexed="64"/>
      </patternFill>
    </fill>
  </fills>
  <borders count="13">
    <border>
      <left/>
      <right/>
      <top/>
      <bottom/>
      <diagonal/>
    </border>
    <border>
      <left style="thin"/>
      <right/>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2" fillId="20" borderId="1">
      <alignment/>
      <protection/>
    </xf>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5" fillId="27" borderId="2" applyNumberFormat="0" applyAlignment="0" applyProtection="0"/>
    <xf numFmtId="0" fontId="86" fillId="28" borderId="3" applyNumberFormat="0" applyAlignment="0" applyProtection="0"/>
    <xf numFmtId="0" fontId="87" fillId="28" borderId="2" applyNumberFormat="0" applyAlignment="0" applyProtection="0"/>
    <xf numFmtId="0" fontId="8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4" applyNumberFormat="0" applyFill="0" applyAlignment="0" applyProtection="0"/>
    <xf numFmtId="0" fontId="90" fillId="0" borderId="5" applyNumberFormat="0" applyFill="0" applyAlignment="0" applyProtection="0"/>
    <xf numFmtId="0" fontId="91" fillId="0" borderId="6" applyNumberFormat="0" applyFill="0" applyAlignment="0" applyProtection="0"/>
    <xf numFmtId="0" fontId="91" fillId="0" borderId="0" applyNumberFormat="0" applyFill="0" applyBorder="0" applyAlignment="0" applyProtection="0"/>
    <xf numFmtId="0" fontId="92" fillId="0" borderId="7" applyNumberFormat="0" applyFill="0" applyAlignment="0" applyProtection="0"/>
    <xf numFmtId="0" fontId="93" fillId="29" borderId="8" applyNumberFormat="0" applyAlignment="0" applyProtection="0"/>
    <xf numFmtId="0" fontId="94" fillId="0" borderId="0" applyNumberFormat="0" applyFill="0" applyBorder="0" applyAlignment="0" applyProtection="0"/>
    <xf numFmtId="0" fontId="95" fillId="30" borderId="0" applyNumberFormat="0" applyBorder="0" applyAlignment="0" applyProtection="0"/>
    <xf numFmtId="0" fontId="0" fillId="0" borderId="0">
      <alignment/>
      <protection/>
    </xf>
    <xf numFmtId="0" fontId="96" fillId="0" borderId="0" applyNumberFormat="0" applyFill="0" applyBorder="0" applyAlignment="0" applyProtection="0"/>
    <xf numFmtId="0" fontId="97" fillId="31" borderId="0" applyNumberFormat="0" applyBorder="0" applyAlignment="0" applyProtection="0"/>
    <xf numFmtId="0" fontId="98"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99" fillId="0" borderId="10" applyNumberFormat="0" applyFill="0" applyAlignment="0" applyProtection="0"/>
    <xf numFmtId="0" fontId="10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1" fillId="33" borderId="0" applyNumberFormat="0" applyBorder="0" applyAlignment="0" applyProtection="0"/>
  </cellStyleXfs>
  <cellXfs count="695">
    <xf numFmtId="0" fontId="0" fillId="0" borderId="0" xfId="0" applyFont="1" applyAlignment="1">
      <alignment/>
    </xf>
    <xf numFmtId="0" fontId="0" fillId="34" borderId="0" xfId="0" applyFill="1" applyAlignment="1">
      <alignment/>
    </xf>
    <xf numFmtId="0" fontId="102" fillId="34" borderId="11" xfId="0" applyFont="1" applyFill="1" applyBorder="1" applyAlignment="1">
      <alignment vertical="center"/>
    </xf>
    <xf numFmtId="0" fontId="103" fillId="34" borderId="0" xfId="0" applyFont="1" applyFill="1" applyAlignment="1" quotePrefix="1">
      <alignment/>
    </xf>
    <xf numFmtId="0" fontId="0" fillId="34" borderId="0" xfId="0" applyFill="1" applyBorder="1" applyAlignment="1">
      <alignment/>
    </xf>
    <xf numFmtId="0" fontId="104" fillId="0" borderId="0" xfId="0" applyFont="1" applyAlignment="1">
      <alignment vertical="center" wrapText="1"/>
    </xf>
    <xf numFmtId="0" fontId="104" fillId="34" borderId="0" xfId="0" applyFont="1" applyFill="1" applyBorder="1" applyAlignment="1">
      <alignment vertical="center" wrapText="1"/>
    </xf>
    <xf numFmtId="0" fontId="104" fillId="34" borderId="0" xfId="0" applyFont="1" applyFill="1" applyBorder="1" applyAlignment="1">
      <alignment wrapText="1"/>
    </xf>
    <xf numFmtId="0" fontId="105" fillId="34" borderId="0" xfId="0" applyFont="1" applyFill="1" applyBorder="1" applyAlignment="1">
      <alignment wrapText="1"/>
    </xf>
    <xf numFmtId="0" fontId="106" fillId="34" borderId="0" xfId="0" applyFont="1" applyFill="1" applyAlignment="1">
      <alignment horizontal="left" vertical="center" wrapText="1"/>
    </xf>
    <xf numFmtId="0" fontId="107" fillId="34" borderId="0" xfId="43" applyFont="1" applyFill="1" applyAlignment="1" quotePrefix="1">
      <alignment horizontal="left"/>
    </xf>
    <xf numFmtId="0" fontId="108" fillId="34" borderId="0" xfId="43" applyFont="1" applyFill="1" applyAlignment="1">
      <alignment/>
    </xf>
    <xf numFmtId="37" fontId="109" fillId="34" borderId="0" xfId="43" applyNumberFormat="1" applyFont="1" applyFill="1" applyBorder="1" applyAlignment="1" applyProtection="1">
      <alignment horizontal="right"/>
      <protection locked="0"/>
    </xf>
    <xf numFmtId="0" fontId="110" fillId="34" borderId="0" xfId="0" applyFont="1" applyFill="1" applyAlignment="1" applyProtection="1">
      <alignment/>
      <protection locked="0"/>
    </xf>
    <xf numFmtId="0" fontId="111" fillId="35" borderId="0" xfId="0" applyFont="1" applyFill="1" applyAlignment="1">
      <alignment vertical="center"/>
    </xf>
    <xf numFmtId="49" fontId="112" fillId="36" borderId="0" xfId="0" applyNumberFormat="1" applyFont="1" applyFill="1" applyBorder="1" applyAlignment="1" applyProtection="1">
      <alignment horizontal="center" vertical="center"/>
      <protection locked="0"/>
    </xf>
    <xf numFmtId="0" fontId="112" fillId="36" borderId="0" xfId="0" applyNumberFormat="1" applyFont="1" applyFill="1" applyBorder="1" applyAlignment="1" applyProtection="1">
      <alignment horizontal="center" vertical="center"/>
      <protection locked="0"/>
    </xf>
    <xf numFmtId="0" fontId="110" fillId="34" borderId="0" xfId="0" applyFont="1" applyFill="1" applyAlignment="1">
      <alignment/>
    </xf>
    <xf numFmtId="0" fontId="110" fillId="34" borderId="0" xfId="0" applyFont="1" applyFill="1" applyAlignment="1">
      <alignment horizontal="center" vertical="center"/>
    </xf>
    <xf numFmtId="0" fontId="113" fillId="34" borderId="0" xfId="0" applyFont="1" applyFill="1" applyAlignment="1">
      <alignment/>
    </xf>
    <xf numFmtId="0" fontId="112" fillId="35" borderId="0" xfId="0" applyFont="1" applyFill="1" applyAlignment="1" applyProtection="1">
      <alignment horizontal="left" vertical="center"/>
      <protection locked="0"/>
    </xf>
    <xf numFmtId="0" fontId="112" fillId="34" borderId="0" xfId="0" applyFont="1" applyFill="1" applyAlignment="1" applyProtection="1">
      <alignment vertical="center"/>
      <protection locked="0"/>
    </xf>
    <xf numFmtId="0" fontId="5" fillId="2" borderId="0" xfId="0" applyFont="1" applyFill="1" applyAlignment="1" applyProtection="1">
      <alignment horizontal="left" vertical="center"/>
      <protection locked="0"/>
    </xf>
    <xf numFmtId="37" fontId="6" fillId="34" borderId="0" xfId="0" applyNumberFormat="1" applyFont="1" applyFill="1" applyAlignment="1" applyProtection="1">
      <alignment horizontal="center" vertical="center"/>
      <protection locked="0"/>
    </xf>
    <xf numFmtId="0" fontId="6" fillId="34" borderId="0" xfId="0" applyFont="1" applyFill="1" applyAlignment="1" applyProtection="1">
      <alignment horizontal="center" vertical="center"/>
      <protection locked="0"/>
    </xf>
    <xf numFmtId="37" fontId="7" fillId="34" borderId="0" xfId="0" applyNumberFormat="1" applyFont="1" applyFill="1" applyAlignment="1" applyProtection="1">
      <alignment horizontal="left" vertical="center"/>
      <protection locked="0"/>
    </xf>
    <xf numFmtId="37" fontId="7" fillId="34" borderId="0" xfId="0" applyNumberFormat="1" applyFont="1" applyFill="1" applyAlignment="1" applyProtection="1">
      <alignment vertical="center"/>
      <protection locked="0"/>
    </xf>
    <xf numFmtId="37" fontId="7" fillId="34" borderId="0" xfId="0" applyNumberFormat="1" applyFont="1" applyFill="1" applyAlignment="1" applyProtection="1">
      <alignment vertical="center"/>
      <protection locked="0"/>
    </xf>
    <xf numFmtId="0" fontId="5" fillId="2" borderId="0" xfId="0" applyFont="1" applyFill="1" applyAlignment="1" applyProtection="1">
      <alignment horizontal="left" vertical="center"/>
      <protection locked="0"/>
    </xf>
    <xf numFmtId="0" fontId="5" fillId="34" borderId="0" xfId="0" applyFont="1" applyFill="1" applyAlignment="1" applyProtection="1">
      <alignment horizontal="left"/>
      <protection locked="0"/>
    </xf>
    <xf numFmtId="0" fontId="114" fillId="34" borderId="0" xfId="0" applyFont="1" applyFill="1" applyAlignment="1" applyProtection="1">
      <alignment/>
      <protection locked="0"/>
    </xf>
    <xf numFmtId="37" fontId="7" fillId="34" borderId="0" xfId="0" applyNumberFormat="1" applyFont="1" applyFill="1" applyAlignment="1" applyProtection="1">
      <alignment vertical="center" wrapText="1"/>
      <protection locked="0"/>
    </xf>
    <xf numFmtId="37" fontId="7" fillId="34" borderId="0" xfId="0" applyNumberFormat="1" applyFont="1" applyFill="1" applyAlignment="1" applyProtection="1">
      <alignment horizontal="left" vertical="center" wrapText="1"/>
      <protection locked="0"/>
    </xf>
    <xf numFmtId="0" fontId="106" fillId="34" borderId="11" xfId="0" applyFont="1" applyFill="1" applyBorder="1" applyAlignment="1">
      <alignment wrapText="1"/>
    </xf>
    <xf numFmtId="174" fontId="115" fillId="34" borderId="0" xfId="0" applyNumberFormat="1" applyFont="1" applyFill="1" applyAlignment="1">
      <alignment horizontal="center" vertical="center"/>
    </xf>
    <xf numFmtId="174" fontId="115" fillId="2" borderId="0" xfId="0" applyNumberFormat="1" applyFont="1" applyFill="1" applyAlignment="1">
      <alignment horizontal="right"/>
    </xf>
    <xf numFmtId="0" fontId="110" fillId="2" borderId="0" xfId="0" applyFont="1" applyFill="1" applyAlignment="1">
      <alignment/>
    </xf>
    <xf numFmtId="174" fontId="116" fillId="2" borderId="0" xfId="0" applyNumberFormat="1" applyFont="1" applyFill="1" applyAlignment="1">
      <alignment horizontal="right"/>
    </xf>
    <xf numFmtId="0" fontId="3" fillId="2" borderId="0" xfId="0" applyFont="1" applyFill="1" applyAlignment="1" applyProtection="1">
      <alignment horizontal="right" vertical="center" wrapText="1"/>
      <protection locked="0"/>
    </xf>
    <xf numFmtId="0" fontId="7" fillId="2" borderId="0" xfId="0" applyFont="1" applyFill="1" applyAlignment="1" applyProtection="1">
      <alignment horizontal="left" vertical="center"/>
      <protection locked="0"/>
    </xf>
    <xf numFmtId="0" fontId="5" fillId="2" borderId="0" xfId="0" applyFont="1" applyFill="1" applyAlignment="1" applyProtection="1">
      <alignment horizontal="left"/>
      <protection locked="0"/>
    </xf>
    <xf numFmtId="174" fontId="115" fillId="2" borderId="0" xfId="0" applyNumberFormat="1" applyFont="1" applyFill="1" applyAlignment="1">
      <alignment horizontal="center" vertical="center"/>
    </xf>
    <xf numFmtId="37" fontId="109" fillId="34" borderId="0" xfId="43" applyNumberFormat="1" applyFont="1" applyFill="1" applyAlignment="1" applyProtection="1">
      <alignment horizontal="right"/>
      <protection locked="0"/>
    </xf>
    <xf numFmtId="0" fontId="5" fillId="34" borderId="0" xfId="0" applyFont="1" applyFill="1" applyAlignment="1" applyProtection="1">
      <alignment vertical="center"/>
      <protection locked="0"/>
    </xf>
    <xf numFmtId="37" fontId="6" fillId="34" borderId="0" xfId="0" applyNumberFormat="1" applyFont="1" applyFill="1" applyAlignment="1">
      <alignment horizontal="left" vertical="center"/>
    </xf>
    <xf numFmtId="37" fontId="7" fillId="34" borderId="0" xfId="0" applyNumberFormat="1" applyFont="1" applyFill="1" applyAlignment="1">
      <alignment horizontal="left" vertical="center"/>
    </xf>
    <xf numFmtId="37" fontId="6" fillId="34" borderId="0" xfId="0" applyNumberFormat="1" applyFont="1" applyFill="1" applyAlignment="1">
      <alignment vertical="center" wrapText="1"/>
    </xf>
    <xf numFmtId="37" fontId="7" fillId="34" borderId="0" xfId="0" applyNumberFormat="1" applyFont="1" applyFill="1" applyAlignment="1">
      <alignment vertical="top"/>
    </xf>
    <xf numFmtId="0" fontId="115" fillId="34" borderId="0" xfId="0" applyFont="1" applyFill="1" applyAlignment="1">
      <alignment/>
    </xf>
    <xf numFmtId="0" fontId="115" fillId="34" borderId="0" xfId="0" applyFont="1" applyFill="1" applyAlignment="1">
      <alignment vertical="center"/>
    </xf>
    <xf numFmtId="0" fontId="111" fillId="35" borderId="0" xfId="0" applyFont="1" applyFill="1" applyAlignment="1">
      <alignment vertical="center"/>
    </xf>
    <xf numFmtId="49" fontId="112" fillId="36" borderId="0" xfId="0" applyNumberFormat="1" applyFont="1" applyFill="1" applyBorder="1" applyAlignment="1" applyProtection="1">
      <alignment horizontal="center" vertical="center"/>
      <protection locked="0"/>
    </xf>
    <xf numFmtId="0" fontId="111" fillId="34" borderId="0" xfId="0" applyFont="1" applyFill="1" applyAlignment="1">
      <alignment vertical="center"/>
    </xf>
    <xf numFmtId="0" fontId="5" fillId="34" borderId="0" xfId="0" applyFont="1" applyFill="1" applyAlignment="1" applyProtection="1">
      <alignment horizontal="left" vertical="center"/>
      <protection locked="0"/>
    </xf>
    <xf numFmtId="37" fontId="7" fillId="34" borderId="0" xfId="0" applyNumberFormat="1" applyFont="1" applyFill="1" applyAlignment="1">
      <alignment vertical="center"/>
    </xf>
    <xf numFmtId="37" fontId="7" fillId="34" borderId="0" xfId="0" applyNumberFormat="1" applyFont="1" applyFill="1" applyAlignment="1">
      <alignment vertical="center" wrapText="1"/>
    </xf>
    <xf numFmtId="37" fontId="117" fillId="34" borderId="0" xfId="43" applyNumberFormat="1" applyFont="1" applyFill="1" applyAlignment="1" applyProtection="1">
      <alignment horizontal="right" vertical="center"/>
      <protection locked="0"/>
    </xf>
    <xf numFmtId="0" fontId="118" fillId="34" borderId="0" xfId="0" applyFont="1" applyFill="1" applyAlignment="1">
      <alignment horizontal="right" vertical="center"/>
    </xf>
    <xf numFmtId="37" fontId="6" fillId="34" borderId="0" xfId="0" applyNumberFormat="1" applyFont="1" applyFill="1" applyAlignment="1">
      <alignment horizontal="right" vertical="center"/>
    </xf>
    <xf numFmtId="0" fontId="119" fillId="34" borderId="0" xfId="0" applyFont="1" applyFill="1" applyAlignment="1">
      <alignment horizontal="right" vertical="center"/>
    </xf>
    <xf numFmtId="0" fontId="119" fillId="0" borderId="0" xfId="0" applyFont="1" applyBorder="1" applyAlignment="1">
      <alignment horizontal="right" vertical="center" wrapText="1"/>
    </xf>
    <xf numFmtId="37" fontId="120" fillId="34" borderId="0" xfId="0" applyNumberFormat="1" applyFont="1" applyFill="1" applyBorder="1" applyAlignment="1">
      <alignment horizontal="right" vertical="center"/>
    </xf>
    <xf numFmtId="37" fontId="6" fillId="34" borderId="0" xfId="0" applyNumberFormat="1" applyFont="1" applyFill="1" applyBorder="1" applyAlignment="1">
      <alignment horizontal="right" vertical="center"/>
    </xf>
    <xf numFmtId="49" fontId="121" fillId="36" borderId="0" xfId="0" applyNumberFormat="1" applyFont="1" applyFill="1" applyBorder="1" applyAlignment="1" applyProtection="1">
      <alignment horizontal="right" vertical="center"/>
      <protection locked="0"/>
    </xf>
    <xf numFmtId="0" fontId="3" fillId="2" borderId="0" xfId="0" applyFont="1" applyFill="1" applyAlignment="1" applyProtection="1">
      <alignment horizontal="right" vertical="center"/>
      <protection locked="0"/>
    </xf>
    <xf numFmtId="0" fontId="113" fillId="2" borderId="0" xfId="0" applyFont="1" applyFill="1" applyAlignment="1">
      <alignment/>
    </xf>
    <xf numFmtId="37" fontId="6" fillId="34" borderId="0" xfId="0" applyNumberFormat="1" applyFont="1" applyFill="1" applyAlignment="1">
      <alignment horizontal="left" vertical="center" indent="4"/>
    </xf>
    <xf numFmtId="37" fontId="7" fillId="2" borderId="0" xfId="0" applyNumberFormat="1" applyFont="1" applyFill="1" applyAlignment="1">
      <alignment vertical="center" wrapText="1"/>
    </xf>
    <xf numFmtId="0" fontId="5" fillId="34" borderId="0" xfId="0" applyFont="1" applyFill="1" applyAlignment="1" applyProtection="1">
      <alignment horizontal="left" vertical="center"/>
      <protection locked="0"/>
    </xf>
    <xf numFmtId="0" fontId="7" fillId="34" borderId="0" xfId="0" applyFont="1" applyFill="1" applyAlignment="1" applyProtection="1">
      <alignment horizontal="left" vertical="center"/>
      <protection locked="0"/>
    </xf>
    <xf numFmtId="0" fontId="115" fillId="34" borderId="0" xfId="0" applyFont="1" applyFill="1" applyAlignment="1">
      <alignment/>
    </xf>
    <xf numFmtId="37" fontId="122" fillId="34" borderId="0" xfId="43" applyNumberFormat="1" applyFont="1" applyFill="1" applyAlignment="1" applyProtection="1">
      <alignment horizontal="left" vertical="center"/>
      <protection locked="0"/>
    </xf>
    <xf numFmtId="49" fontId="110" fillId="34" borderId="0" xfId="0" applyNumberFormat="1" applyFont="1" applyFill="1" applyAlignment="1">
      <alignment/>
    </xf>
    <xf numFmtId="0" fontId="115" fillId="34" borderId="0" xfId="0" applyFont="1" applyFill="1" applyAlignment="1">
      <alignment vertical="center"/>
    </xf>
    <xf numFmtId="0" fontId="112" fillId="35" borderId="0" xfId="0" applyFont="1" applyFill="1" applyAlignment="1" applyProtection="1">
      <alignment vertical="center"/>
      <protection locked="0"/>
    </xf>
    <xf numFmtId="49" fontId="112" fillId="34" borderId="0" xfId="0" applyNumberFormat="1" applyFont="1" applyFill="1" applyBorder="1" applyAlignment="1" applyProtection="1">
      <alignment horizontal="center" vertical="center"/>
      <protection locked="0"/>
    </xf>
    <xf numFmtId="49" fontId="112" fillId="34" borderId="0" xfId="0" applyNumberFormat="1" applyFont="1" applyFill="1" applyBorder="1" applyAlignment="1" applyProtection="1">
      <alignment horizontal="left" vertical="center"/>
      <protection locked="0"/>
    </xf>
    <xf numFmtId="0" fontId="123" fillId="34" borderId="0" xfId="0" applyFont="1" applyFill="1" applyAlignment="1">
      <alignment/>
    </xf>
    <xf numFmtId="49" fontId="112" fillId="36" borderId="0" xfId="0" applyNumberFormat="1" applyFont="1" applyFill="1" applyBorder="1" applyAlignment="1" applyProtection="1">
      <alignment horizontal="left" vertical="center"/>
      <protection locked="0"/>
    </xf>
    <xf numFmtId="0" fontId="112" fillId="34" borderId="0" xfId="0" applyFont="1" applyFill="1" applyAlignment="1" applyProtection="1">
      <alignment horizontal="left" vertical="center"/>
      <protection locked="0"/>
    </xf>
    <xf numFmtId="37" fontId="7" fillId="34" borderId="0" xfId="0" applyNumberFormat="1" applyFont="1" applyFill="1" applyAlignment="1">
      <alignment vertical="center"/>
    </xf>
    <xf numFmtId="37" fontId="7" fillId="34" borderId="0" xfId="0" applyNumberFormat="1" applyFont="1" applyFill="1" applyAlignment="1">
      <alignment horizontal="left" vertical="center"/>
    </xf>
    <xf numFmtId="0" fontId="114" fillId="34" borderId="0" xfId="0" applyFont="1" applyFill="1" applyAlignment="1">
      <alignment/>
    </xf>
    <xf numFmtId="1" fontId="112" fillId="36" borderId="0" xfId="0" applyNumberFormat="1" applyFont="1" applyFill="1" applyBorder="1" applyAlignment="1" applyProtection="1">
      <alignment horizontal="center" vertical="center"/>
      <protection locked="0"/>
    </xf>
    <xf numFmtId="1" fontId="112" fillId="36" borderId="0" xfId="0" applyNumberFormat="1" applyFont="1" applyFill="1" applyBorder="1" applyAlignment="1" applyProtection="1">
      <alignment horizontal="center" vertical="center"/>
      <protection locked="0"/>
    </xf>
    <xf numFmtId="0" fontId="124" fillId="34" borderId="0" xfId="0" applyFont="1" applyFill="1" applyAlignment="1">
      <alignment/>
    </xf>
    <xf numFmtId="49" fontId="7" fillId="34" borderId="0" xfId="0" applyNumberFormat="1" applyFont="1" applyFill="1" applyBorder="1" applyAlignment="1">
      <alignment/>
    </xf>
    <xf numFmtId="0" fontId="106" fillId="34" borderId="0" xfId="0" applyFont="1" applyFill="1" applyBorder="1" applyAlignment="1">
      <alignment horizontal="left" vertical="center" wrapText="1"/>
    </xf>
    <xf numFmtId="37" fontId="7" fillId="34" borderId="0" xfId="0" applyNumberFormat="1" applyFont="1" applyFill="1" applyBorder="1" applyAlignment="1">
      <alignment vertical="top"/>
    </xf>
    <xf numFmtId="37" fontId="7" fillId="34" borderId="0" xfId="0" applyNumberFormat="1" applyFont="1" applyFill="1" applyBorder="1" applyAlignment="1">
      <alignment horizontal="left" vertical="center"/>
    </xf>
    <xf numFmtId="0" fontId="110" fillId="34" borderId="0" xfId="0" applyFont="1" applyFill="1" applyAlignment="1">
      <alignment horizontal="left" vertical="center"/>
    </xf>
    <xf numFmtId="0" fontId="110" fillId="34" borderId="0" xfId="0" applyFont="1" applyFill="1" applyBorder="1" applyAlignment="1">
      <alignment/>
    </xf>
    <xf numFmtId="0" fontId="125" fillId="34" borderId="0" xfId="54" applyFont="1" applyFill="1" applyBorder="1">
      <alignment/>
      <protection/>
    </xf>
    <xf numFmtId="0" fontId="125" fillId="34" borderId="0" xfId="54" applyFont="1" applyFill="1" applyBorder="1" applyAlignment="1">
      <alignment horizontal="left" vertical="center"/>
      <protection/>
    </xf>
    <xf numFmtId="0" fontId="110" fillId="34" borderId="0" xfId="0" applyFont="1" applyFill="1" applyBorder="1" applyAlignment="1">
      <alignment horizontal="center" vertical="center"/>
    </xf>
    <xf numFmtId="0" fontId="110" fillId="34" borderId="0" xfId="0" applyFont="1" applyFill="1" applyBorder="1" applyAlignment="1">
      <alignment horizontal="left" vertical="center"/>
    </xf>
    <xf numFmtId="37" fontId="4" fillId="34" borderId="0" xfId="0" applyNumberFormat="1" applyFont="1" applyFill="1" applyAlignment="1">
      <alignment horizontal="right" vertical="center"/>
    </xf>
    <xf numFmtId="37" fontId="7" fillId="2" borderId="0" xfId="0" applyNumberFormat="1" applyFont="1" applyFill="1" applyAlignment="1">
      <alignment horizontal="left" vertical="center"/>
    </xf>
    <xf numFmtId="49" fontId="112" fillId="2" borderId="0" xfId="0" applyNumberFormat="1" applyFont="1" applyFill="1" applyBorder="1" applyAlignment="1" applyProtection="1">
      <alignment horizontal="center" vertical="center"/>
      <protection locked="0"/>
    </xf>
    <xf numFmtId="0" fontId="113" fillId="34" borderId="0" xfId="0" applyFont="1" applyFill="1" applyAlignment="1">
      <alignment horizontal="center"/>
    </xf>
    <xf numFmtId="0" fontId="110" fillId="34" borderId="0" xfId="0" applyFont="1" applyFill="1" applyAlignment="1">
      <alignment horizontal="center"/>
    </xf>
    <xf numFmtId="1" fontId="5" fillId="2" borderId="0" xfId="0" applyNumberFormat="1" applyFont="1" applyFill="1" applyAlignment="1">
      <alignment horizontal="center"/>
    </xf>
    <xf numFmtId="0" fontId="113" fillId="2" borderId="0" xfId="0" applyFont="1" applyFill="1" applyAlignment="1">
      <alignment horizontal="center"/>
    </xf>
    <xf numFmtId="1" fontId="115" fillId="34" borderId="0" xfId="0" applyNumberFormat="1" applyFont="1" applyFill="1" applyAlignment="1">
      <alignment horizontal="center"/>
    </xf>
    <xf numFmtId="0" fontId="7" fillId="34" borderId="0" xfId="0" applyFont="1" applyFill="1" applyAlignment="1">
      <alignment horizontal="center"/>
    </xf>
    <xf numFmtId="1" fontId="115" fillId="2" borderId="0" xfId="0" applyNumberFormat="1" applyFont="1" applyFill="1" applyAlignment="1">
      <alignment horizontal="center"/>
    </xf>
    <xf numFmtId="0" fontId="7" fillId="2" borderId="0" xfId="0" applyFont="1" applyFill="1" applyAlignment="1">
      <alignment horizontal="center"/>
    </xf>
    <xf numFmtId="0" fontId="114" fillId="2" borderId="0" xfId="0" applyFont="1" applyFill="1" applyAlignment="1">
      <alignment horizontal="center"/>
    </xf>
    <xf numFmtId="0" fontId="109" fillId="34" borderId="0" xfId="43" applyFont="1" applyFill="1" applyAlignment="1">
      <alignment horizontal="right"/>
    </xf>
    <xf numFmtId="0" fontId="111" fillId="34" borderId="0" xfId="0" applyFont="1" applyFill="1" applyAlignment="1">
      <alignment vertical="center"/>
    </xf>
    <xf numFmtId="0" fontId="112" fillId="34" borderId="0" xfId="0" applyNumberFormat="1" applyFont="1" applyFill="1" applyBorder="1" applyAlignment="1" applyProtection="1">
      <alignment horizontal="center" vertical="center"/>
      <protection locked="0"/>
    </xf>
    <xf numFmtId="37" fontId="7" fillId="34" borderId="0" xfId="0" applyNumberFormat="1" applyFont="1" applyFill="1" applyBorder="1" applyAlignment="1">
      <alignment horizontal="left" vertical="center" wrapText="1"/>
    </xf>
    <xf numFmtId="37" fontId="8" fillId="34" borderId="0" xfId="0" applyNumberFormat="1" applyFont="1" applyFill="1" applyBorder="1" applyAlignment="1">
      <alignment horizontal="left" vertical="center" wrapText="1"/>
    </xf>
    <xf numFmtId="37" fontId="7" fillId="2" borderId="0" xfId="0" applyNumberFormat="1" applyFont="1" applyFill="1" applyAlignment="1">
      <alignment horizontal="left" vertical="center"/>
    </xf>
    <xf numFmtId="49" fontId="7" fillId="2" borderId="0" xfId="0" applyNumberFormat="1" applyFont="1" applyFill="1" applyBorder="1" applyAlignment="1">
      <alignment/>
    </xf>
    <xf numFmtId="49" fontId="126" fillId="36" borderId="0" xfId="0" applyNumberFormat="1" applyFont="1" applyFill="1" applyBorder="1" applyAlignment="1" applyProtection="1">
      <alignment horizontal="right" vertical="center"/>
      <protection locked="0"/>
    </xf>
    <xf numFmtId="49" fontId="126" fillId="34" borderId="0" xfId="0" applyNumberFormat="1" applyFont="1" applyFill="1" applyBorder="1" applyAlignment="1" applyProtection="1">
      <alignment horizontal="right" vertical="center"/>
      <protection locked="0"/>
    </xf>
    <xf numFmtId="0" fontId="3" fillId="2" borderId="0" xfId="0" applyFont="1" applyFill="1" applyAlignment="1" applyProtection="1">
      <alignment horizontal="right" vertical="center"/>
      <protection locked="0"/>
    </xf>
    <xf numFmtId="37" fontId="4" fillId="34" borderId="0" xfId="0" applyNumberFormat="1" applyFont="1" applyFill="1" applyAlignment="1">
      <alignment horizontal="right" vertical="center"/>
    </xf>
    <xf numFmtId="0" fontId="7" fillId="34" borderId="0" xfId="0" applyFont="1" applyFill="1" applyAlignment="1" applyProtection="1">
      <alignment vertical="center"/>
      <protection locked="0"/>
    </xf>
    <xf numFmtId="0" fontId="84" fillId="34" borderId="0" xfId="0" applyFont="1" applyFill="1" applyAlignment="1">
      <alignment/>
    </xf>
    <xf numFmtId="0" fontId="0" fillId="34" borderId="0" xfId="0" applyFill="1" applyAlignment="1">
      <alignment horizontal="center"/>
    </xf>
    <xf numFmtId="9" fontId="3" fillId="2" borderId="0" xfId="59" applyFont="1" applyFill="1" applyAlignment="1" applyProtection="1">
      <alignment horizontal="right" vertical="center" wrapText="1"/>
      <protection locked="0"/>
    </xf>
    <xf numFmtId="37" fontId="7" fillId="34" borderId="0" xfId="0" applyNumberFormat="1" applyFont="1" applyFill="1" applyAlignment="1" applyProtection="1">
      <alignment horizontal="left" vertical="center" indent="1"/>
      <protection locked="0"/>
    </xf>
    <xf numFmtId="37" fontId="7" fillId="34" borderId="0" xfId="0" applyNumberFormat="1" applyFont="1" applyFill="1" applyAlignment="1" applyProtection="1">
      <alignment horizontal="left" vertical="center" indent="1"/>
      <protection locked="0"/>
    </xf>
    <xf numFmtId="0" fontId="7" fillId="34" borderId="0" xfId="0" applyFont="1" applyFill="1" applyAlignment="1" applyProtection="1">
      <alignment horizontal="left" vertical="center" indent="1"/>
      <protection locked="0"/>
    </xf>
    <xf numFmtId="37" fontId="7" fillId="34" borderId="0" xfId="0" applyNumberFormat="1" applyFont="1" applyFill="1" applyAlignment="1" applyProtection="1">
      <alignment horizontal="left" vertical="center" indent="2"/>
      <protection locked="0"/>
    </xf>
    <xf numFmtId="37" fontId="7" fillId="34" borderId="0" xfId="0" applyNumberFormat="1" applyFont="1" applyFill="1" applyAlignment="1" applyProtection="1">
      <alignment horizontal="left" vertical="center" indent="2"/>
      <protection locked="0"/>
    </xf>
    <xf numFmtId="0" fontId="7" fillId="34" borderId="0" xfId="0" applyFont="1" applyFill="1" applyAlignment="1" applyProtection="1">
      <alignment horizontal="left" vertical="center" indent="2"/>
      <protection locked="0"/>
    </xf>
    <xf numFmtId="0" fontId="7" fillId="2" borderId="0" xfId="0" applyFont="1" applyFill="1" applyAlignment="1" applyProtection="1">
      <alignment horizontal="left" vertical="center" indent="1"/>
      <protection locked="0"/>
    </xf>
    <xf numFmtId="0" fontId="127" fillId="36" borderId="0" xfId="0" applyFont="1" applyFill="1" applyBorder="1" applyAlignment="1">
      <alignment horizontal="center" vertical="center"/>
    </xf>
    <xf numFmtId="0" fontId="127" fillId="34" borderId="0" xfId="0" applyFont="1" applyFill="1" applyBorder="1" applyAlignment="1">
      <alignment horizontal="center" vertical="center"/>
    </xf>
    <xf numFmtId="0" fontId="11" fillId="2" borderId="0" xfId="0" applyFont="1" applyFill="1" applyAlignment="1" applyProtection="1">
      <alignment horizontal="left" vertical="center" indent="1"/>
      <protection locked="0"/>
    </xf>
    <xf numFmtId="0" fontId="110" fillId="34" borderId="0" xfId="0" applyFont="1" applyFill="1" applyAlignment="1" applyProtection="1">
      <alignment horizontal="right"/>
      <protection locked="0"/>
    </xf>
    <xf numFmtId="49" fontId="110" fillId="34" borderId="0" xfId="0" applyNumberFormat="1" applyFont="1" applyFill="1" applyAlignment="1" applyProtection="1">
      <alignment horizontal="right"/>
      <protection locked="0"/>
    </xf>
    <xf numFmtId="0" fontId="113" fillId="34" borderId="0" xfId="0" applyFont="1" applyFill="1" applyAlignment="1" applyProtection="1">
      <alignment horizontal="right"/>
      <protection locked="0"/>
    </xf>
    <xf numFmtId="49" fontId="112" fillId="36" borderId="0" xfId="0" applyNumberFormat="1" applyFont="1" applyFill="1" applyBorder="1" applyAlignment="1" applyProtection="1">
      <alignment horizontal="right" vertical="center"/>
      <protection locked="0"/>
    </xf>
    <xf numFmtId="0" fontId="112" fillId="36" borderId="0" xfId="0" applyNumberFormat="1" applyFont="1" applyFill="1" applyBorder="1" applyAlignment="1" applyProtection="1">
      <alignment horizontal="right" vertical="center"/>
      <protection locked="0"/>
    </xf>
    <xf numFmtId="0" fontId="110" fillId="34" borderId="0" xfId="0" applyFont="1" applyFill="1" applyAlignment="1">
      <alignment horizontal="right"/>
    </xf>
    <xf numFmtId="0" fontId="113" fillId="34" borderId="0" xfId="0" applyFont="1" applyFill="1" applyAlignment="1">
      <alignment horizontal="right"/>
    </xf>
    <xf numFmtId="0" fontId="112" fillId="36" borderId="0" xfId="0" applyFont="1" applyFill="1" applyBorder="1" applyAlignment="1">
      <alignment horizontal="right" vertical="center"/>
    </xf>
    <xf numFmtId="0" fontId="128" fillId="36" borderId="0" xfId="0" applyFont="1" applyFill="1" applyBorder="1" applyAlignment="1">
      <alignment horizontal="right" vertical="center"/>
    </xf>
    <xf numFmtId="0" fontId="112" fillId="34" borderId="0" xfId="0" applyFont="1" applyFill="1" applyBorder="1" applyAlignment="1">
      <alignment horizontal="right" vertical="center"/>
    </xf>
    <xf numFmtId="0" fontId="128" fillId="34" borderId="0" xfId="0" applyFont="1" applyFill="1" applyBorder="1" applyAlignment="1">
      <alignment horizontal="right" vertical="center"/>
    </xf>
    <xf numFmtId="186" fontId="7" fillId="2" borderId="0" xfId="0" applyNumberFormat="1" applyFont="1" applyFill="1" applyAlignment="1">
      <alignment horizontal="right" vertical="center"/>
    </xf>
    <xf numFmtId="186" fontId="7" fillId="34" borderId="0" xfId="0" applyNumberFormat="1" applyFont="1" applyFill="1" applyAlignment="1">
      <alignment horizontal="right" vertical="center"/>
    </xf>
    <xf numFmtId="186" fontId="7" fillId="34" borderId="0" xfId="0" applyNumberFormat="1" applyFont="1" applyFill="1" applyAlignment="1" applyProtection="1">
      <alignment horizontal="right" vertical="center"/>
      <protection locked="0"/>
    </xf>
    <xf numFmtId="4" fontId="7" fillId="37" borderId="0" xfId="0" applyNumberFormat="1" applyFont="1" applyFill="1" applyAlignment="1" applyProtection="1">
      <alignment horizontal="right" vertical="center"/>
      <protection locked="0"/>
    </xf>
    <xf numFmtId="174" fontId="7" fillId="34" borderId="0" xfId="0" applyNumberFormat="1" applyFont="1" applyFill="1" applyAlignment="1">
      <alignment horizontal="right" vertical="center"/>
    </xf>
    <xf numFmtId="176" fontId="7" fillId="34" borderId="0" xfId="0" applyNumberFormat="1" applyFont="1" applyFill="1" applyAlignment="1">
      <alignment horizontal="right" vertical="center"/>
    </xf>
    <xf numFmtId="4" fontId="7" fillId="34" borderId="0" xfId="0" applyNumberFormat="1" applyFont="1" applyFill="1" applyAlignment="1" applyProtection="1">
      <alignment horizontal="right" vertical="center"/>
      <protection locked="0"/>
    </xf>
    <xf numFmtId="174" fontId="7" fillId="2" borderId="0" xfId="0" applyNumberFormat="1" applyFont="1" applyFill="1" applyAlignment="1">
      <alignment horizontal="right" vertical="center"/>
    </xf>
    <xf numFmtId="0" fontId="7" fillId="34" borderId="0" xfId="0" applyFont="1" applyFill="1" applyAlignment="1" applyProtection="1">
      <alignment horizontal="right" vertical="center"/>
      <protection locked="0"/>
    </xf>
    <xf numFmtId="0" fontId="7" fillId="37" borderId="0" xfId="0" applyFont="1" applyFill="1" applyAlignment="1" applyProtection="1">
      <alignment horizontal="right" vertical="center"/>
      <protection locked="0"/>
    </xf>
    <xf numFmtId="178" fontId="7" fillId="34" borderId="0" xfId="0" applyNumberFormat="1" applyFont="1" applyFill="1" applyAlignment="1">
      <alignment horizontal="right" vertical="center"/>
    </xf>
    <xf numFmtId="2" fontId="7" fillId="2" borderId="0" xfId="0" applyNumberFormat="1" applyFont="1" applyFill="1" applyAlignment="1">
      <alignment horizontal="right" vertical="center"/>
    </xf>
    <xf numFmtId="174" fontId="7" fillId="37" borderId="0" xfId="0" applyNumberFormat="1" applyFont="1" applyFill="1" applyAlignment="1" applyProtection="1">
      <alignment horizontal="right" vertical="center"/>
      <protection locked="0"/>
    </xf>
    <xf numFmtId="185" fontId="7" fillId="34" borderId="0" xfId="0" applyNumberFormat="1" applyFont="1" applyFill="1" applyAlignment="1">
      <alignment horizontal="right" vertical="center"/>
    </xf>
    <xf numFmtId="185" fontId="7" fillId="37" borderId="0" xfId="0" applyNumberFormat="1" applyFont="1" applyFill="1" applyAlignment="1" applyProtection="1">
      <alignment horizontal="right" vertical="center"/>
      <protection locked="0"/>
    </xf>
    <xf numFmtId="0" fontId="113" fillId="2" borderId="0" xfId="0" applyFont="1" applyFill="1" applyAlignment="1" applyProtection="1">
      <alignment horizontal="right"/>
      <protection locked="0"/>
    </xf>
    <xf numFmtId="175" fontId="7" fillId="34" borderId="0" xfId="0" applyNumberFormat="1" applyFont="1" applyFill="1" applyAlignment="1">
      <alignment horizontal="right" vertical="center"/>
    </xf>
    <xf numFmtId="3" fontId="7" fillId="34" borderId="0" xfId="0" applyNumberFormat="1" applyFont="1" applyFill="1" applyAlignment="1" applyProtection="1">
      <alignment horizontal="right" vertical="center"/>
      <protection locked="0"/>
    </xf>
    <xf numFmtId="175" fontId="7" fillId="37" borderId="0" xfId="0" applyNumberFormat="1" applyFont="1" applyFill="1" applyAlignment="1" applyProtection="1">
      <alignment horizontal="right" vertical="center"/>
      <protection locked="0"/>
    </xf>
    <xf numFmtId="1" fontId="7" fillId="34" borderId="0" xfId="0" applyNumberFormat="1" applyFont="1" applyFill="1" applyAlignment="1">
      <alignment horizontal="right" vertical="center"/>
    </xf>
    <xf numFmtId="0" fontId="7" fillId="2" borderId="0" xfId="0" applyFont="1" applyFill="1" applyAlignment="1" applyProtection="1">
      <alignment horizontal="right" vertical="center"/>
      <protection locked="0"/>
    </xf>
    <xf numFmtId="185" fontId="7" fillId="34" borderId="0" xfId="0" applyNumberFormat="1" applyFont="1" applyFill="1" applyAlignment="1" applyProtection="1">
      <alignment horizontal="right" vertical="center"/>
      <protection locked="0"/>
    </xf>
    <xf numFmtId="175" fontId="7" fillId="2" borderId="0" xfId="0" applyNumberFormat="1" applyFont="1" applyFill="1" applyAlignment="1">
      <alignment horizontal="right" vertical="center"/>
    </xf>
    <xf numFmtId="0" fontId="7" fillId="2" borderId="0" xfId="0" applyFont="1" applyFill="1" applyAlignment="1" applyProtection="1">
      <alignment horizontal="right" vertical="center"/>
      <protection locked="0"/>
    </xf>
    <xf numFmtId="175" fontId="115" fillId="2" borderId="0" xfId="0" applyNumberFormat="1" applyFont="1" applyFill="1" applyAlignment="1">
      <alignment horizontal="right" vertical="center"/>
    </xf>
    <xf numFmtId="3" fontId="7" fillId="2" borderId="0" xfId="0" applyNumberFormat="1" applyFont="1" applyFill="1" applyAlignment="1" applyProtection="1">
      <alignment horizontal="right" vertical="center"/>
      <protection locked="0"/>
    </xf>
    <xf numFmtId="175" fontId="115" fillId="34" borderId="0" xfId="0" applyNumberFormat="1" applyFont="1" applyFill="1" applyAlignment="1">
      <alignment horizontal="right" vertical="center"/>
    </xf>
    <xf numFmtId="3" fontId="7" fillId="37" borderId="0" xfId="0" applyNumberFormat="1" applyFont="1" applyFill="1" applyAlignment="1" applyProtection="1">
      <alignment horizontal="right" vertical="center"/>
      <protection locked="0"/>
    </xf>
    <xf numFmtId="174" fontId="115" fillId="2" borderId="0" xfId="0" applyNumberFormat="1" applyFont="1" applyFill="1" applyAlignment="1">
      <alignment horizontal="right" vertical="center"/>
    </xf>
    <xf numFmtId="179" fontId="115" fillId="2" borderId="0" xfId="0" applyNumberFormat="1" applyFont="1" applyFill="1" applyAlignment="1">
      <alignment horizontal="right" vertical="center"/>
    </xf>
    <xf numFmtId="174" fontId="115" fillId="34" borderId="0" xfId="0" applyNumberFormat="1" applyFont="1" applyFill="1" applyAlignment="1">
      <alignment horizontal="right" vertical="center"/>
    </xf>
    <xf numFmtId="179" fontId="115" fillId="34" borderId="0" xfId="0" applyNumberFormat="1" applyFont="1" applyFill="1" applyAlignment="1">
      <alignment horizontal="right" vertical="center"/>
    </xf>
    <xf numFmtId="0" fontId="7" fillId="34" borderId="0" xfId="0" applyFont="1" applyFill="1" applyAlignment="1">
      <alignment horizontal="right" vertical="center"/>
    </xf>
    <xf numFmtId="177" fontId="7" fillId="34" borderId="0" xfId="0" applyNumberFormat="1" applyFont="1" applyFill="1" applyAlignment="1">
      <alignment horizontal="right" vertical="center"/>
    </xf>
    <xf numFmtId="0" fontId="113" fillId="2" borderId="0" xfId="0" applyFont="1" applyFill="1" applyAlignment="1" applyProtection="1">
      <alignment horizontal="right" vertical="center"/>
      <protection locked="0"/>
    </xf>
    <xf numFmtId="0" fontId="110" fillId="2" borderId="0" xfId="0" applyFont="1" applyFill="1" applyAlignment="1" applyProtection="1">
      <alignment horizontal="right" vertical="center"/>
      <protection locked="0"/>
    </xf>
    <xf numFmtId="0" fontId="110" fillId="34" borderId="0" xfId="0" applyFont="1" applyFill="1" applyAlignment="1">
      <alignment horizontal="right" vertical="center"/>
    </xf>
    <xf numFmtId="188" fontId="115" fillId="34" borderId="0" xfId="0" applyNumberFormat="1" applyFont="1" applyFill="1" applyAlignment="1">
      <alignment horizontal="right" vertical="center"/>
    </xf>
    <xf numFmtId="188" fontId="7" fillId="34" borderId="0" xfId="0" applyNumberFormat="1" applyFont="1" applyFill="1" applyAlignment="1" applyProtection="1">
      <alignment horizontal="right" vertical="center"/>
      <protection locked="0"/>
    </xf>
    <xf numFmtId="188" fontId="7" fillId="37" borderId="0" xfId="0" applyNumberFormat="1" applyFont="1" applyFill="1" applyAlignment="1" applyProtection="1">
      <alignment horizontal="right" vertical="center"/>
      <protection locked="0"/>
    </xf>
    <xf numFmtId="0" fontId="113" fillId="34" borderId="0" xfId="0" applyFont="1" applyFill="1" applyAlignment="1">
      <alignment horizontal="right" vertical="center"/>
    </xf>
    <xf numFmtId="3" fontId="7" fillId="2" borderId="0" xfId="0" applyNumberFormat="1" applyFont="1" applyFill="1" applyAlignment="1">
      <alignment horizontal="right" vertical="center"/>
    </xf>
    <xf numFmtId="1" fontId="113" fillId="2" borderId="0" xfId="0" applyNumberFormat="1" applyFont="1" applyFill="1" applyAlignment="1">
      <alignment horizontal="right" vertical="center"/>
    </xf>
    <xf numFmtId="174" fontId="113" fillId="2" borderId="0" xfId="0" applyNumberFormat="1" applyFont="1" applyFill="1" applyAlignment="1">
      <alignment horizontal="right" vertical="center"/>
    </xf>
    <xf numFmtId="0" fontId="7" fillId="34" borderId="0" xfId="0" applyFont="1" applyFill="1" applyAlignment="1" applyProtection="1">
      <alignment horizontal="right" vertical="center"/>
      <protection locked="0"/>
    </xf>
    <xf numFmtId="179" fontId="7" fillId="34" borderId="0" xfId="0" applyNumberFormat="1" applyFont="1" applyFill="1" applyAlignment="1" applyProtection="1">
      <alignment horizontal="right" vertical="center"/>
      <protection locked="0"/>
    </xf>
    <xf numFmtId="175" fontId="7" fillId="37" borderId="0" xfId="0" applyNumberFormat="1" applyFont="1" applyFill="1" applyAlignment="1">
      <alignment horizontal="right" vertical="center"/>
    </xf>
    <xf numFmtId="175" fontId="115" fillId="37" borderId="0" xfId="0" applyNumberFormat="1" applyFont="1" applyFill="1" applyAlignment="1">
      <alignment horizontal="right" vertical="center"/>
    </xf>
    <xf numFmtId="177" fontId="115" fillId="34" borderId="0" xfId="0" applyNumberFormat="1" applyFont="1" applyFill="1" applyAlignment="1">
      <alignment horizontal="right" vertical="center"/>
    </xf>
    <xf numFmtId="177" fontId="115" fillId="2" borderId="0" xfId="0" applyNumberFormat="1" applyFont="1" applyFill="1" applyAlignment="1">
      <alignment horizontal="right" vertical="center"/>
    </xf>
    <xf numFmtId="2" fontId="115" fillId="2" borderId="0" xfId="0" applyNumberFormat="1" applyFont="1" applyFill="1" applyAlignment="1">
      <alignment horizontal="right" vertical="center"/>
    </xf>
    <xf numFmtId="37" fontId="129" fillId="34" borderId="0" xfId="43" applyNumberFormat="1" applyFont="1" applyFill="1" applyBorder="1" applyAlignment="1" applyProtection="1">
      <alignment horizontal="right" vertical="center"/>
      <protection locked="0"/>
    </xf>
    <xf numFmtId="0" fontId="130" fillId="34" borderId="0" xfId="0" applyFont="1" applyFill="1" applyAlignment="1" applyProtection="1">
      <alignment horizontal="right" vertical="center" wrapText="1"/>
      <protection locked="0"/>
    </xf>
    <xf numFmtId="0" fontId="127" fillId="36" borderId="0" xfId="0" applyFont="1" applyFill="1" applyBorder="1" applyAlignment="1">
      <alignment horizontal="center" vertical="center" wrapText="1"/>
    </xf>
    <xf numFmtId="0" fontId="131" fillId="34" borderId="0" xfId="0" applyFont="1" applyFill="1" applyAlignment="1">
      <alignment horizontal="right" vertical="center"/>
    </xf>
    <xf numFmtId="0" fontId="127" fillId="36" borderId="0" xfId="0" applyFont="1" applyFill="1" applyBorder="1" applyAlignment="1">
      <alignment horizontal="right" vertical="center" wrapText="1"/>
    </xf>
    <xf numFmtId="0" fontId="9" fillId="34" borderId="0" xfId="0" applyFont="1" applyFill="1" applyAlignment="1" applyProtection="1">
      <alignment horizontal="right" vertical="center" wrapText="1"/>
      <protection locked="0"/>
    </xf>
    <xf numFmtId="0" fontId="9" fillId="2" borderId="0" xfId="0" applyFont="1" applyFill="1" applyAlignment="1" applyProtection="1">
      <alignment horizontal="right" vertical="center" wrapText="1"/>
      <protection locked="0"/>
    </xf>
    <xf numFmtId="37" fontId="11" fillId="34" borderId="0" xfId="0" applyNumberFormat="1" applyFont="1" applyFill="1" applyAlignment="1" applyProtection="1">
      <alignment horizontal="right" vertical="center"/>
      <protection locked="0"/>
    </xf>
    <xf numFmtId="9" fontId="11" fillId="34" borderId="0" xfId="59" applyFont="1" applyFill="1" applyAlignment="1" applyProtection="1">
      <alignment horizontal="right" vertical="center"/>
      <protection locked="0"/>
    </xf>
    <xf numFmtId="37" fontId="11" fillId="34" borderId="0" xfId="0" applyNumberFormat="1" applyFont="1" applyFill="1" applyAlignment="1" applyProtection="1">
      <alignment horizontal="right" vertical="center"/>
      <protection locked="0"/>
    </xf>
    <xf numFmtId="9" fontId="9" fillId="2" borderId="0" xfId="59" applyNumberFormat="1" applyFont="1" applyFill="1" applyAlignment="1" applyProtection="1">
      <alignment horizontal="right" vertical="center" wrapText="1"/>
      <protection locked="0"/>
    </xf>
    <xf numFmtId="9" fontId="131" fillId="34" borderId="0" xfId="59" applyFont="1" applyFill="1" applyAlignment="1" applyProtection="1">
      <alignment horizontal="center" vertical="center"/>
      <protection locked="0"/>
    </xf>
    <xf numFmtId="0" fontId="12" fillId="2" borderId="0" xfId="0" applyFont="1" applyFill="1" applyAlignment="1" applyProtection="1">
      <alignment horizontal="right" vertical="center"/>
      <protection locked="0"/>
    </xf>
    <xf numFmtId="195" fontId="11" fillId="34" borderId="0" xfId="59" applyNumberFormat="1" applyFont="1" applyFill="1" applyAlignment="1" applyProtection="1">
      <alignment horizontal="right" vertical="center"/>
      <protection locked="0"/>
    </xf>
    <xf numFmtId="0" fontId="127" fillId="36" borderId="0" xfId="0" applyFont="1" applyFill="1" applyBorder="1" applyAlignment="1">
      <alignment horizontal="right" vertical="center"/>
    </xf>
    <xf numFmtId="0" fontId="11" fillId="34" borderId="0" xfId="0" applyFont="1" applyFill="1" applyAlignment="1" applyProtection="1">
      <alignment horizontal="right" vertical="center"/>
      <protection locked="0"/>
    </xf>
    <xf numFmtId="9" fontId="9" fillId="2" borderId="0" xfId="59" applyFont="1" applyFill="1" applyAlignment="1" applyProtection="1">
      <alignment horizontal="right" vertical="center" wrapText="1"/>
      <protection locked="0"/>
    </xf>
    <xf numFmtId="37" fontId="11" fillId="34" borderId="0" xfId="0" applyNumberFormat="1" applyFont="1" applyFill="1" applyAlignment="1" applyProtection="1">
      <alignment horizontal="right" vertical="center" wrapText="1"/>
      <protection locked="0"/>
    </xf>
    <xf numFmtId="37" fontId="9" fillId="34" borderId="0" xfId="0" applyNumberFormat="1" applyFont="1" applyFill="1" applyAlignment="1" applyProtection="1">
      <alignment horizontal="right" vertical="center"/>
      <protection locked="0"/>
    </xf>
    <xf numFmtId="37" fontId="9" fillId="34" borderId="0" xfId="0" applyNumberFormat="1" applyFont="1" applyFill="1" applyAlignment="1" applyProtection="1">
      <alignment horizontal="right" vertical="center" wrapText="1"/>
      <protection locked="0"/>
    </xf>
    <xf numFmtId="0" fontId="131" fillId="34" borderId="0" xfId="0" applyFont="1" applyFill="1" applyAlignment="1" applyProtection="1">
      <alignment horizontal="right" vertical="center"/>
      <protection locked="0"/>
    </xf>
    <xf numFmtId="37" fontId="11" fillId="34" borderId="0" xfId="0" applyNumberFormat="1" applyFont="1" applyFill="1" applyBorder="1" applyAlignment="1">
      <alignment horizontal="right" vertical="center" wrapText="1"/>
    </xf>
    <xf numFmtId="0" fontId="131" fillId="34" borderId="0" xfId="0" applyFont="1" applyFill="1" applyAlignment="1" applyProtection="1">
      <alignment horizontal="left" vertical="center"/>
      <protection locked="0"/>
    </xf>
    <xf numFmtId="0" fontId="127" fillId="36" borderId="0" xfId="0" applyFont="1" applyFill="1" applyBorder="1" applyAlignment="1">
      <alignment horizontal="left" vertical="center"/>
    </xf>
    <xf numFmtId="0" fontId="131" fillId="34" borderId="0" xfId="0" applyFont="1" applyFill="1" applyAlignment="1">
      <alignment horizontal="left" vertical="center"/>
    </xf>
    <xf numFmtId="0" fontId="127" fillId="34" borderId="0" xfId="0" applyFont="1" applyFill="1" applyBorder="1" applyAlignment="1">
      <alignment horizontal="left" vertical="center"/>
    </xf>
    <xf numFmtId="0" fontId="9" fillId="34" borderId="0" xfId="0" applyFont="1" applyFill="1" applyAlignment="1" applyProtection="1">
      <alignment horizontal="left" vertical="center"/>
      <protection locked="0"/>
    </xf>
    <xf numFmtId="0" fontId="9" fillId="2" borderId="0" xfId="0" applyFont="1" applyFill="1" applyAlignment="1" applyProtection="1">
      <alignment horizontal="left" vertical="center"/>
      <protection locked="0"/>
    </xf>
    <xf numFmtId="0" fontId="9" fillId="34" borderId="0" xfId="0" applyFont="1" applyFill="1" applyAlignment="1" applyProtection="1">
      <alignment horizontal="left" vertical="center" wrapText="1"/>
      <protection locked="0"/>
    </xf>
    <xf numFmtId="0" fontId="9" fillId="2" borderId="0" xfId="0" applyFont="1" applyFill="1" applyAlignment="1" applyProtection="1">
      <alignment horizontal="left" vertical="center" wrapText="1"/>
      <protection locked="0"/>
    </xf>
    <xf numFmtId="0" fontId="132" fillId="2" borderId="0" xfId="0" applyFont="1" applyFill="1" applyAlignment="1" applyProtection="1">
      <alignment horizontal="left" vertical="center"/>
      <protection locked="0"/>
    </xf>
    <xf numFmtId="0" fontId="9" fillId="34" borderId="0" xfId="0" applyFont="1" applyFill="1" applyAlignment="1" applyProtection="1">
      <alignment horizontal="left" vertical="center"/>
      <protection locked="0"/>
    </xf>
    <xf numFmtId="0" fontId="9" fillId="34" borderId="0" xfId="0" applyFont="1" applyFill="1" applyAlignment="1" applyProtection="1">
      <alignment horizontal="left" vertical="center" wrapText="1"/>
      <protection locked="0"/>
    </xf>
    <xf numFmtId="0" fontId="133" fillId="34" borderId="0" xfId="0" applyFont="1" applyFill="1" applyAlignment="1" applyProtection="1">
      <alignment horizontal="left" vertical="center" wrapText="1"/>
      <protection locked="0"/>
    </xf>
    <xf numFmtId="37" fontId="4" fillId="34" borderId="0" xfId="0" applyNumberFormat="1" applyFont="1" applyFill="1" applyBorder="1" applyAlignment="1">
      <alignment vertical="top" wrapText="1"/>
    </xf>
    <xf numFmtId="37" fontId="129" fillId="34" borderId="0" xfId="43" applyNumberFormat="1" applyFont="1" applyFill="1" applyBorder="1" applyAlignment="1" applyProtection="1">
      <alignment horizontal="right"/>
      <protection locked="0"/>
    </xf>
    <xf numFmtId="0" fontId="130" fillId="34" borderId="0" xfId="0" applyFont="1" applyFill="1" applyAlignment="1" applyProtection="1">
      <alignment vertical="top" wrapText="1"/>
      <protection locked="0"/>
    </xf>
    <xf numFmtId="0" fontId="131" fillId="34" borderId="0" xfId="0" applyFont="1" applyFill="1" applyAlignment="1">
      <alignment/>
    </xf>
    <xf numFmtId="37" fontId="9" fillId="34" borderId="0" xfId="0" applyNumberFormat="1" applyFont="1" applyFill="1" applyAlignment="1" applyProtection="1">
      <alignment horizontal="center" vertical="center"/>
      <protection locked="0"/>
    </xf>
    <xf numFmtId="37" fontId="9" fillId="2" borderId="0" xfId="0" applyNumberFormat="1" applyFont="1" applyFill="1" applyAlignment="1" applyProtection="1">
      <alignment horizontal="center" vertical="center"/>
      <protection locked="0"/>
    </xf>
    <xf numFmtId="0" fontId="131" fillId="34" borderId="0" xfId="0" applyFont="1" applyFill="1" applyAlignment="1">
      <alignment vertical="top"/>
    </xf>
    <xf numFmtId="0" fontId="131" fillId="2" borderId="0" xfId="0" applyFont="1" applyFill="1" applyAlignment="1" applyProtection="1">
      <alignment/>
      <protection locked="0"/>
    </xf>
    <xf numFmtId="37" fontId="11" fillId="34" borderId="0" xfId="0" applyNumberFormat="1" applyFont="1" applyFill="1" applyAlignment="1" applyProtection="1">
      <alignment vertical="center" wrapText="1"/>
      <protection locked="0"/>
    </xf>
    <xf numFmtId="37" fontId="9" fillId="34" borderId="0" xfId="0" applyNumberFormat="1" applyFont="1" applyFill="1" applyAlignment="1" applyProtection="1">
      <alignment horizontal="center" vertical="center"/>
      <protection locked="0"/>
    </xf>
    <xf numFmtId="0" fontId="131" fillId="34" borderId="0" xfId="0" applyFont="1" applyFill="1" applyAlignment="1" applyProtection="1">
      <alignment/>
      <protection locked="0"/>
    </xf>
    <xf numFmtId="37" fontId="11" fillId="34" borderId="0" xfId="0" applyNumberFormat="1" applyFont="1" applyFill="1" applyBorder="1" applyAlignment="1">
      <alignment vertical="top" wrapText="1"/>
    </xf>
    <xf numFmtId="37" fontId="11" fillId="34" borderId="0" xfId="0" applyNumberFormat="1" applyFont="1" applyFill="1" applyBorder="1" applyAlignment="1">
      <alignment wrapText="1"/>
    </xf>
    <xf numFmtId="37" fontId="5" fillId="8" borderId="0" xfId="0" applyNumberFormat="1" applyFont="1" applyFill="1" applyAlignment="1" applyProtection="1">
      <alignment horizontal="left" vertical="center"/>
      <protection locked="0"/>
    </xf>
    <xf numFmtId="0" fontId="9" fillId="8" borderId="0" xfId="0" applyFont="1" applyFill="1" applyAlignment="1" applyProtection="1">
      <alignment horizontal="left" vertical="center"/>
      <protection locked="0"/>
    </xf>
    <xf numFmtId="186" fontId="7" fillId="8" borderId="0" xfId="0" applyNumberFormat="1" applyFont="1" applyFill="1" applyAlignment="1">
      <alignment horizontal="right" vertical="center"/>
    </xf>
    <xf numFmtId="186" fontId="7" fillId="8" borderId="0" xfId="0" applyNumberFormat="1" applyFont="1" applyFill="1" applyAlignment="1" applyProtection="1">
      <alignment horizontal="right" vertical="center"/>
      <protection locked="0"/>
    </xf>
    <xf numFmtId="4" fontId="7" fillId="8" borderId="0" xfId="0" applyNumberFormat="1" applyFont="1" applyFill="1" applyAlignment="1" applyProtection="1">
      <alignment horizontal="right" vertical="center"/>
      <protection locked="0"/>
    </xf>
    <xf numFmtId="0" fontId="9" fillId="8" borderId="0" xfId="0" applyFont="1" applyFill="1" applyAlignment="1" applyProtection="1">
      <alignment horizontal="right" vertical="center" wrapText="1"/>
      <protection locked="0"/>
    </xf>
    <xf numFmtId="37" fontId="9" fillId="8" borderId="0" xfId="0" applyNumberFormat="1" applyFont="1" applyFill="1" applyAlignment="1" applyProtection="1">
      <alignment horizontal="center" vertical="center"/>
      <protection locked="0"/>
    </xf>
    <xf numFmtId="0" fontId="10" fillId="2" borderId="0" xfId="0" applyFont="1" applyFill="1" applyAlignment="1" applyProtection="1">
      <alignment horizontal="left" vertical="center"/>
      <protection locked="0"/>
    </xf>
    <xf numFmtId="0" fontId="134" fillId="2" borderId="0" xfId="0" applyFont="1" applyFill="1" applyAlignment="1" applyProtection="1">
      <alignment horizontal="right"/>
      <protection locked="0"/>
    </xf>
    <xf numFmtId="0" fontId="135" fillId="2" borderId="0" xfId="0" applyFont="1" applyFill="1" applyAlignment="1">
      <alignment horizontal="right"/>
    </xf>
    <xf numFmtId="37" fontId="10" fillId="2" borderId="0" xfId="0" applyNumberFormat="1" applyFont="1" applyFill="1" applyAlignment="1" applyProtection="1">
      <alignment horizontal="center" vertical="center"/>
      <protection locked="0"/>
    </xf>
    <xf numFmtId="0" fontId="5" fillId="8" borderId="0" xfId="0" applyFont="1" applyFill="1" applyAlignment="1" applyProtection="1">
      <alignment horizontal="left" vertical="center"/>
      <protection locked="0"/>
    </xf>
    <xf numFmtId="3" fontId="7" fillId="8" borderId="0" xfId="0" applyNumberFormat="1" applyFont="1" applyFill="1" applyAlignment="1" applyProtection="1">
      <alignment horizontal="right" vertical="center"/>
      <protection locked="0"/>
    </xf>
    <xf numFmtId="174" fontId="7" fillId="8" borderId="0" xfId="0" applyNumberFormat="1" applyFont="1" applyFill="1" applyAlignment="1">
      <alignment horizontal="right" vertical="center"/>
    </xf>
    <xf numFmtId="175" fontId="7" fillId="8" borderId="0" xfId="0" applyNumberFormat="1" applyFont="1" applyFill="1" applyAlignment="1" applyProtection="1">
      <alignment horizontal="right" vertical="center"/>
      <protection locked="0"/>
    </xf>
    <xf numFmtId="9" fontId="12" fillId="8" borderId="0" xfId="59" applyFont="1" applyFill="1" applyAlignment="1" applyProtection="1">
      <alignment horizontal="right" vertical="center"/>
      <protection locked="0"/>
    </xf>
    <xf numFmtId="10" fontId="7" fillId="2" borderId="0" xfId="59" applyNumberFormat="1" applyFont="1" applyFill="1" applyAlignment="1" applyProtection="1">
      <alignment horizontal="right" vertical="center"/>
      <protection locked="0"/>
    </xf>
    <xf numFmtId="0" fontId="111" fillId="36" borderId="0" xfId="0" applyNumberFormat="1" applyFont="1" applyFill="1" applyBorder="1" applyAlignment="1" applyProtection="1">
      <alignment horizontal="right" vertical="center"/>
      <protection locked="0"/>
    </xf>
    <xf numFmtId="0" fontId="113" fillId="36" borderId="0" xfId="0" applyFont="1" applyFill="1" applyBorder="1" applyAlignment="1">
      <alignment horizontal="right" vertical="center"/>
    </xf>
    <xf numFmtId="0" fontId="112" fillId="36" borderId="0" xfId="0" applyNumberFormat="1" applyFont="1" applyFill="1" applyBorder="1" applyAlignment="1" applyProtection="1">
      <alignment horizontal="right" vertical="center"/>
      <protection locked="0"/>
    </xf>
    <xf numFmtId="175" fontId="115" fillId="8" borderId="0" xfId="0" applyNumberFormat="1" applyFont="1" applyFill="1" applyAlignment="1">
      <alignment horizontal="right" vertical="center"/>
    </xf>
    <xf numFmtId="3" fontId="7" fillId="8" borderId="0" xfId="0" applyNumberFormat="1" applyFont="1" applyFill="1" applyAlignment="1" applyProtection="1">
      <alignment horizontal="right" vertical="center"/>
      <protection locked="0"/>
    </xf>
    <xf numFmtId="0" fontId="9" fillId="8" borderId="0" xfId="0" applyFont="1" applyFill="1" applyAlignment="1" applyProtection="1">
      <alignment horizontal="left" vertical="center" wrapText="1"/>
      <protection locked="0"/>
    </xf>
    <xf numFmtId="2" fontId="7" fillId="8" borderId="0" xfId="0" applyNumberFormat="1" applyFont="1" applyFill="1" applyAlignment="1">
      <alignment horizontal="right" vertical="center"/>
    </xf>
    <xf numFmtId="1" fontId="7" fillId="8" borderId="0" xfId="0" applyNumberFormat="1" applyFont="1" applyFill="1" applyAlignment="1">
      <alignment horizontal="right" vertical="center"/>
    </xf>
    <xf numFmtId="1" fontId="7" fillId="8" borderId="0" xfId="0" applyNumberFormat="1" applyFont="1" applyFill="1" applyAlignment="1" applyProtection="1">
      <alignment horizontal="right" vertical="center"/>
      <protection locked="0"/>
    </xf>
    <xf numFmtId="2" fontId="7" fillId="34" borderId="0" xfId="0" applyNumberFormat="1" applyFont="1" applyFill="1" applyAlignment="1">
      <alignment horizontal="right" vertical="center"/>
    </xf>
    <xf numFmtId="175" fontId="7" fillId="34" borderId="0" xfId="0" applyNumberFormat="1" applyFont="1" applyFill="1" applyAlignment="1" applyProtection="1">
      <alignment horizontal="right" vertical="center"/>
      <protection locked="0"/>
    </xf>
    <xf numFmtId="186" fontId="7" fillId="37" borderId="0" xfId="0" applyNumberFormat="1" applyFont="1" applyFill="1" applyAlignment="1" applyProtection="1">
      <alignment horizontal="right" vertical="center"/>
      <protection locked="0"/>
    </xf>
    <xf numFmtId="177" fontId="7" fillId="8" borderId="0" xfId="0" applyNumberFormat="1" applyFont="1" applyFill="1" applyAlignment="1">
      <alignment horizontal="right" vertical="center"/>
    </xf>
    <xf numFmtId="0" fontId="7" fillId="8" borderId="0" xfId="0" applyFont="1" applyFill="1" applyAlignment="1" applyProtection="1">
      <alignment horizontal="right" vertical="center"/>
      <protection locked="0"/>
    </xf>
    <xf numFmtId="0" fontId="115" fillId="34" borderId="0" xfId="0" applyFont="1" applyFill="1" applyAlignment="1">
      <alignment horizontal="right" vertical="center"/>
    </xf>
    <xf numFmtId="0" fontId="114" fillId="0" borderId="0" xfId="0" applyFont="1" applyFill="1" applyAlignment="1" applyProtection="1">
      <alignment/>
      <protection locked="0"/>
    </xf>
    <xf numFmtId="0" fontId="7" fillId="2" borderId="0" xfId="0" applyFont="1" applyFill="1" applyAlignment="1" applyProtection="1">
      <alignment horizontal="left" vertical="center" wrapText="1"/>
      <protection locked="0"/>
    </xf>
    <xf numFmtId="0" fontId="7" fillId="34" borderId="0" xfId="0" applyFont="1" applyFill="1" applyAlignment="1" applyProtection="1">
      <alignment horizontal="left" vertical="center" indent="2"/>
      <protection locked="0"/>
    </xf>
    <xf numFmtId="0" fontId="7" fillId="34" borderId="0" xfId="0" applyFont="1" applyFill="1" applyAlignment="1" applyProtection="1">
      <alignment horizontal="left" vertical="center" wrapText="1"/>
      <protection locked="0"/>
    </xf>
    <xf numFmtId="187" fontId="7" fillId="37" borderId="0" xfId="0" applyNumberFormat="1" applyFont="1" applyFill="1" applyAlignment="1" applyProtection="1">
      <alignment horizontal="right" vertical="center"/>
      <protection locked="0"/>
    </xf>
    <xf numFmtId="4" fontId="7" fillId="37" borderId="0" xfId="0" applyNumberFormat="1" applyFont="1" applyFill="1" applyAlignment="1" applyProtection="1">
      <alignment horizontal="right" vertical="center"/>
      <protection locked="0"/>
    </xf>
    <xf numFmtId="194" fontId="7" fillId="37" borderId="0" xfId="0" applyNumberFormat="1" applyFont="1" applyFill="1" applyAlignment="1" applyProtection="1">
      <alignment horizontal="right" vertical="center"/>
      <protection locked="0"/>
    </xf>
    <xf numFmtId="37" fontId="7" fillId="34" borderId="0" xfId="0" applyNumberFormat="1" applyFont="1" applyFill="1" applyAlignment="1" applyProtection="1">
      <alignment horizontal="left" vertical="center" indent="4"/>
      <protection locked="0"/>
    </xf>
    <xf numFmtId="0" fontId="113" fillId="34" borderId="0" xfId="0" applyFont="1" applyFill="1" applyBorder="1" applyAlignment="1">
      <alignment horizontal="right" vertical="center"/>
    </xf>
    <xf numFmtId="0" fontId="127" fillId="34" borderId="0" xfId="0" applyFont="1" applyFill="1" applyBorder="1" applyAlignment="1">
      <alignment horizontal="right" vertical="center" wrapText="1"/>
    </xf>
    <xf numFmtId="0" fontId="127" fillId="34" borderId="0" xfId="0" applyFont="1" applyFill="1" applyBorder="1" applyAlignment="1">
      <alignment horizontal="center" vertical="center" wrapText="1"/>
    </xf>
    <xf numFmtId="0" fontId="7" fillId="2" borderId="0" xfId="0" applyFont="1" applyFill="1" applyAlignment="1" applyProtection="1">
      <alignment horizontal="left" vertical="center" wrapText="1"/>
      <protection locked="0"/>
    </xf>
    <xf numFmtId="0" fontId="11" fillId="2" borderId="0" xfId="0" applyFont="1" applyFill="1" applyAlignment="1" applyProtection="1">
      <alignment horizontal="right" vertical="center" wrapText="1"/>
      <protection locked="0"/>
    </xf>
    <xf numFmtId="0" fontId="7" fillId="2" borderId="0" xfId="0" applyFont="1" applyFill="1" applyAlignment="1" applyProtection="1">
      <alignment horizontal="left" wrapText="1"/>
      <protection locked="0"/>
    </xf>
    <xf numFmtId="3" fontId="7" fillId="34" borderId="0" xfId="0" applyNumberFormat="1" applyFont="1" applyFill="1" applyAlignment="1" applyProtection="1">
      <alignment horizontal="right" vertical="center"/>
      <protection locked="0"/>
    </xf>
    <xf numFmtId="37" fontId="7" fillId="34" borderId="0" xfId="0" applyNumberFormat="1" applyFont="1" applyFill="1" applyAlignment="1" applyProtection="1">
      <alignment horizontal="left" vertical="center" wrapText="1" indent="1"/>
      <protection locked="0"/>
    </xf>
    <xf numFmtId="37" fontId="6" fillId="34" borderId="0" xfId="0" applyNumberFormat="1" applyFont="1" applyFill="1" applyAlignment="1" applyProtection="1">
      <alignment horizontal="left" vertical="center" indent="3"/>
      <protection locked="0"/>
    </xf>
    <xf numFmtId="37" fontId="6" fillId="34" borderId="0" xfId="0" applyNumberFormat="1" applyFont="1" applyFill="1" applyAlignment="1" applyProtection="1">
      <alignment horizontal="left" vertical="center" indent="5"/>
      <protection locked="0"/>
    </xf>
    <xf numFmtId="3" fontId="113" fillId="34" borderId="0" xfId="0" applyNumberFormat="1" applyFont="1" applyFill="1" applyAlignment="1" applyProtection="1">
      <alignment horizontal="right"/>
      <protection locked="0"/>
    </xf>
    <xf numFmtId="176" fontId="115" fillId="34" borderId="0" xfId="0" applyNumberFormat="1" applyFont="1" applyFill="1" applyAlignment="1">
      <alignment horizontal="right" vertical="center"/>
    </xf>
    <xf numFmtId="0" fontId="7" fillId="8" borderId="0" xfId="0" applyFont="1" applyFill="1" applyAlignment="1" applyProtection="1">
      <alignment horizontal="left" vertical="center"/>
      <protection locked="0"/>
    </xf>
    <xf numFmtId="174" fontId="115" fillId="8" borderId="0" xfId="0" applyNumberFormat="1" applyFont="1" applyFill="1" applyAlignment="1">
      <alignment horizontal="right" vertical="center"/>
    </xf>
    <xf numFmtId="0" fontId="110" fillId="8" borderId="0" xfId="0" applyFont="1" applyFill="1" applyAlignment="1" applyProtection="1">
      <alignment horizontal="right" vertical="center"/>
      <protection locked="0"/>
    </xf>
    <xf numFmtId="0" fontId="131" fillId="8" borderId="0" xfId="0" applyFont="1" applyFill="1" applyAlignment="1" applyProtection="1">
      <alignment/>
      <protection locked="0"/>
    </xf>
    <xf numFmtId="37" fontId="7" fillId="34" borderId="0" xfId="0" applyNumberFormat="1" applyFont="1" applyFill="1" applyAlignment="1" applyProtection="1">
      <alignment horizontal="left" vertical="center" wrapText="1" indent="2"/>
      <protection locked="0"/>
    </xf>
    <xf numFmtId="2" fontId="115" fillId="8" borderId="0" xfId="0" applyNumberFormat="1" applyFont="1" applyFill="1" applyAlignment="1">
      <alignment horizontal="right" vertical="center"/>
    </xf>
    <xf numFmtId="185" fontId="7" fillId="2" borderId="0" xfId="0" applyNumberFormat="1" applyFont="1" applyFill="1" applyAlignment="1">
      <alignment horizontal="right" vertical="center"/>
    </xf>
    <xf numFmtId="175" fontId="7" fillId="8" borderId="0" xfId="0" applyNumberFormat="1" applyFont="1" applyFill="1" applyAlignment="1">
      <alignment horizontal="right" vertical="center"/>
    </xf>
    <xf numFmtId="0" fontId="5" fillId="8" borderId="0" xfId="0" applyFont="1" applyFill="1" applyAlignment="1" applyProtection="1">
      <alignment horizontal="left" vertical="center"/>
      <protection locked="0"/>
    </xf>
    <xf numFmtId="2" fontId="7" fillId="34" borderId="0" xfId="0" applyNumberFormat="1" applyFont="1" applyFill="1" applyAlignment="1" applyProtection="1">
      <alignment horizontal="right" vertical="center"/>
      <protection locked="0"/>
    </xf>
    <xf numFmtId="2" fontId="7" fillId="34" borderId="0" xfId="0" applyNumberFormat="1" applyFont="1" applyFill="1" applyAlignment="1" applyProtection="1">
      <alignment horizontal="right" vertical="center"/>
      <protection locked="0"/>
    </xf>
    <xf numFmtId="179" fontId="7" fillId="37" borderId="0" xfId="0" applyNumberFormat="1" applyFont="1" applyFill="1" applyAlignment="1" applyProtection="1">
      <alignment horizontal="right" vertical="center"/>
      <protection locked="0"/>
    </xf>
    <xf numFmtId="39" fontId="7" fillId="34" borderId="0" xfId="0" applyNumberFormat="1" applyFont="1" applyFill="1" applyAlignment="1" applyProtection="1">
      <alignment horizontal="left" vertical="center"/>
      <protection locked="0"/>
    </xf>
    <xf numFmtId="188" fontId="7" fillId="37" borderId="0" xfId="0" applyNumberFormat="1" applyFont="1" applyFill="1" applyAlignment="1">
      <alignment horizontal="right" vertical="center"/>
    </xf>
    <xf numFmtId="49" fontId="112" fillId="34" borderId="0" xfId="0" applyNumberFormat="1" applyFont="1" applyFill="1" applyBorder="1" applyAlignment="1" applyProtection="1">
      <alignment horizontal="right" vertical="center"/>
      <protection locked="0"/>
    </xf>
    <xf numFmtId="0" fontId="112" fillId="34" borderId="0" xfId="0" applyNumberFormat="1" applyFont="1" applyFill="1" applyBorder="1" applyAlignment="1" applyProtection="1">
      <alignment horizontal="right" vertical="center"/>
      <protection locked="0"/>
    </xf>
    <xf numFmtId="0" fontId="111" fillId="34" borderId="0" xfId="0" applyNumberFormat="1" applyFont="1" applyFill="1" applyBorder="1" applyAlignment="1" applyProtection="1">
      <alignment horizontal="right" vertical="center"/>
      <protection locked="0"/>
    </xf>
    <xf numFmtId="0" fontId="127" fillId="34" borderId="0" xfId="0" applyFont="1" applyFill="1" applyBorder="1" applyAlignment="1">
      <alignment horizontal="right" vertical="center"/>
    </xf>
    <xf numFmtId="0" fontId="7" fillId="34" borderId="0" xfId="0" applyFont="1" applyFill="1" applyAlignment="1">
      <alignment horizontal="right" vertical="center"/>
    </xf>
    <xf numFmtId="175" fontId="7" fillId="34" borderId="0" xfId="0" applyNumberFormat="1" applyFont="1" applyFill="1" applyAlignment="1">
      <alignment horizontal="right" vertical="center"/>
    </xf>
    <xf numFmtId="0" fontId="11" fillId="34" borderId="0" xfId="0" applyFont="1" applyFill="1" applyAlignment="1" applyProtection="1">
      <alignment horizontal="right" vertical="center"/>
      <protection locked="0"/>
    </xf>
    <xf numFmtId="188" fontId="7" fillId="34" borderId="0" xfId="0" applyNumberFormat="1" applyFont="1" applyFill="1" applyAlignment="1">
      <alignment horizontal="right" vertical="center"/>
    </xf>
    <xf numFmtId="0" fontId="12" fillId="8" borderId="0" xfId="0" applyFont="1" applyFill="1" applyAlignment="1" applyProtection="1">
      <alignment horizontal="right" vertical="center"/>
      <protection locked="0"/>
    </xf>
    <xf numFmtId="37" fontId="9" fillId="8" borderId="0" xfId="0" applyNumberFormat="1" applyFont="1" applyFill="1" applyAlignment="1" applyProtection="1">
      <alignment horizontal="right" vertical="center" wrapText="1"/>
      <protection locked="0"/>
    </xf>
    <xf numFmtId="0" fontId="136" fillId="34" borderId="0" xfId="0" applyFont="1" applyFill="1" applyAlignment="1">
      <alignment horizontal="left" vertical="center"/>
    </xf>
    <xf numFmtId="176" fontId="115" fillId="8" borderId="0" xfId="0" applyNumberFormat="1" applyFont="1" applyFill="1" applyAlignment="1">
      <alignment horizontal="right" vertical="center"/>
    </xf>
    <xf numFmtId="4" fontId="7" fillId="8" borderId="0" xfId="0" applyNumberFormat="1" applyFont="1" applyFill="1" applyAlignment="1" applyProtection="1">
      <alignment horizontal="right" vertical="center"/>
      <protection locked="0"/>
    </xf>
    <xf numFmtId="37" fontId="11" fillId="8" borderId="0" xfId="0" applyNumberFormat="1" applyFont="1" applyFill="1" applyAlignment="1" applyProtection="1">
      <alignment horizontal="right" vertical="center"/>
      <protection locked="0"/>
    </xf>
    <xf numFmtId="176" fontId="7" fillId="34" borderId="0" xfId="0" applyNumberFormat="1" applyFont="1" applyFill="1" applyAlignment="1" applyProtection="1">
      <alignment horizontal="right" vertical="center"/>
      <protection locked="0"/>
    </xf>
    <xf numFmtId="1" fontId="115" fillId="2" borderId="0" xfId="0" applyNumberFormat="1" applyFont="1" applyFill="1" applyAlignment="1">
      <alignment horizontal="right" vertical="center"/>
    </xf>
    <xf numFmtId="0" fontId="137" fillId="34" borderId="0" xfId="0" applyFont="1" applyFill="1" applyAlignment="1">
      <alignment/>
    </xf>
    <xf numFmtId="0" fontId="138" fillId="34" borderId="0" xfId="43" applyFont="1" applyFill="1" applyAlignment="1" quotePrefix="1">
      <alignment horizontal="right"/>
    </xf>
    <xf numFmtId="0" fontId="106" fillId="34" borderId="0" xfId="0" applyFont="1" applyFill="1" applyBorder="1" applyAlignment="1">
      <alignment wrapText="1"/>
    </xf>
    <xf numFmtId="0" fontId="111" fillId="2" borderId="0" xfId="0" applyFont="1" applyFill="1" applyBorder="1" applyAlignment="1" applyProtection="1">
      <alignment horizontal="center" vertical="center"/>
      <protection locked="0"/>
    </xf>
    <xf numFmtId="0" fontId="6" fillId="34" borderId="0" xfId="0" applyFont="1" applyFill="1" applyBorder="1" applyAlignment="1" applyProtection="1">
      <alignment horizontal="center" vertical="center"/>
      <protection locked="0"/>
    </xf>
    <xf numFmtId="37" fontId="7" fillId="34" borderId="0" xfId="0" applyNumberFormat="1" applyFont="1" applyFill="1" applyAlignment="1">
      <alignment horizontal="left" vertical="center" indent="1"/>
    </xf>
    <xf numFmtId="37" fontId="7" fillId="34" borderId="0" xfId="0" applyNumberFormat="1" applyFont="1" applyFill="1" applyAlignment="1">
      <alignment horizontal="left" vertical="center" indent="2"/>
    </xf>
    <xf numFmtId="37" fontId="6" fillId="34" borderId="0" xfId="0" applyNumberFormat="1" applyFont="1" applyFill="1" applyAlignment="1">
      <alignment horizontal="left" vertical="center" indent="3"/>
    </xf>
    <xf numFmtId="37" fontId="7" fillId="34" borderId="0" xfId="0" applyNumberFormat="1" applyFont="1" applyFill="1" applyAlignment="1">
      <alignment horizontal="left" vertical="center" indent="3"/>
    </xf>
    <xf numFmtId="0" fontId="115" fillId="34" borderId="0" xfId="0" applyFont="1" applyFill="1" applyAlignment="1">
      <alignment horizontal="right"/>
    </xf>
    <xf numFmtId="49" fontId="115" fillId="34" borderId="0" xfId="0" applyNumberFormat="1" applyFont="1" applyFill="1" applyAlignment="1">
      <alignment horizontal="right"/>
    </xf>
    <xf numFmtId="49" fontId="112" fillId="36" borderId="0" xfId="0" applyNumberFormat="1" applyFont="1" applyFill="1" applyBorder="1" applyAlignment="1" applyProtection="1">
      <alignment horizontal="right" vertical="center"/>
      <protection locked="0"/>
    </xf>
    <xf numFmtId="49" fontId="112" fillId="34" borderId="0" xfId="0" applyNumberFormat="1" applyFont="1" applyFill="1" applyBorder="1" applyAlignment="1" applyProtection="1">
      <alignment horizontal="right" vertical="center"/>
      <protection locked="0"/>
    </xf>
    <xf numFmtId="49" fontId="128" fillId="36" borderId="0" xfId="0" applyNumberFormat="1" applyFont="1" applyFill="1" applyBorder="1" applyAlignment="1" applyProtection="1">
      <alignment horizontal="right" vertical="center"/>
      <protection locked="0"/>
    </xf>
    <xf numFmtId="177" fontId="115" fillId="2" borderId="0" xfId="0" applyNumberFormat="1" applyFont="1" applyFill="1" applyAlignment="1">
      <alignment horizontal="right" vertical="center"/>
    </xf>
    <xf numFmtId="0" fontId="7" fillId="2" borderId="0" xfId="0" applyFont="1" applyFill="1" applyAlignment="1">
      <alignment horizontal="right" vertical="center"/>
    </xf>
    <xf numFmtId="2" fontId="112" fillId="36" borderId="0" xfId="0" applyNumberFormat="1" applyFont="1" applyFill="1" applyBorder="1" applyAlignment="1" applyProtection="1">
      <alignment horizontal="right" vertical="center"/>
      <protection locked="0"/>
    </xf>
    <xf numFmtId="177" fontId="7" fillId="2" borderId="0" xfId="0" applyNumberFormat="1" applyFont="1" applyFill="1" applyBorder="1" applyAlignment="1" applyProtection="1">
      <alignment horizontal="right" vertical="center"/>
      <protection locked="0"/>
    </xf>
    <xf numFmtId="0" fontId="115" fillId="34" borderId="0" xfId="0" applyFont="1" applyFill="1" applyAlignment="1">
      <alignment horizontal="left" vertical="center"/>
    </xf>
    <xf numFmtId="49" fontId="112" fillId="36" borderId="0" xfId="0" applyNumberFormat="1" applyFont="1" applyFill="1" applyBorder="1" applyAlignment="1" applyProtection="1">
      <alignment horizontal="left" vertical="center"/>
      <protection locked="0"/>
    </xf>
    <xf numFmtId="49" fontId="112" fillId="34" borderId="0" xfId="0" applyNumberFormat="1" applyFont="1" applyFill="1" applyBorder="1" applyAlignment="1" applyProtection="1">
      <alignment horizontal="left" vertical="center"/>
      <protection locked="0"/>
    </xf>
    <xf numFmtId="37" fontId="5" fillId="8" borderId="0" xfId="0" applyNumberFormat="1" applyFont="1" applyFill="1" applyAlignment="1" applyProtection="1">
      <alignment horizontal="left" vertical="center" wrapText="1"/>
      <protection locked="0"/>
    </xf>
    <xf numFmtId="0" fontId="139" fillId="8" borderId="0" xfId="0" applyFont="1" applyFill="1" applyAlignment="1">
      <alignment horizontal="left" vertical="center"/>
    </xf>
    <xf numFmtId="0" fontId="139" fillId="2" borderId="0" xfId="0" applyFont="1" applyFill="1" applyAlignment="1">
      <alignment horizontal="left" vertical="center"/>
    </xf>
    <xf numFmtId="0" fontId="139" fillId="34" borderId="0" xfId="0" applyFont="1" applyFill="1" applyAlignment="1">
      <alignment horizontal="left" vertical="center"/>
    </xf>
    <xf numFmtId="0" fontId="9" fillId="34" borderId="0" xfId="0" applyFont="1" applyFill="1" applyAlignment="1">
      <alignment horizontal="left" vertical="center"/>
    </xf>
    <xf numFmtId="49" fontId="127" fillId="36" borderId="0" xfId="0" applyNumberFormat="1" applyFont="1" applyFill="1" applyBorder="1" applyAlignment="1" applyProtection="1">
      <alignment horizontal="left" vertical="center"/>
      <protection locked="0"/>
    </xf>
    <xf numFmtId="0" fontId="9" fillId="2" borderId="0" xfId="0" applyFont="1" applyFill="1" applyAlignment="1">
      <alignment horizontal="left" vertical="center"/>
    </xf>
    <xf numFmtId="0" fontId="139" fillId="2" borderId="0" xfId="0" applyFont="1" applyFill="1" applyAlignment="1">
      <alignment horizontal="left" vertical="center" wrapText="1"/>
    </xf>
    <xf numFmtId="0" fontId="140" fillId="2" borderId="0" xfId="0" applyFont="1" applyFill="1" applyAlignment="1">
      <alignment horizontal="left" vertical="center"/>
    </xf>
    <xf numFmtId="0" fontId="140" fillId="34" borderId="0" xfId="0" applyFont="1" applyFill="1" applyAlignment="1">
      <alignment horizontal="left" vertical="center"/>
    </xf>
    <xf numFmtId="0" fontId="9" fillId="8" borderId="0" xfId="0" applyFont="1" applyFill="1" applyAlignment="1" applyProtection="1">
      <alignment horizontal="right" vertical="center"/>
      <protection locked="0"/>
    </xf>
    <xf numFmtId="0" fontId="9" fillId="2" borderId="0" xfId="0" applyFont="1" applyFill="1" applyAlignment="1" applyProtection="1">
      <alignment horizontal="right" vertical="center"/>
      <protection locked="0"/>
    </xf>
    <xf numFmtId="37" fontId="9" fillId="34" borderId="0" xfId="0" applyNumberFormat="1" applyFont="1" applyFill="1" applyAlignment="1">
      <alignment horizontal="right" vertical="center"/>
    </xf>
    <xf numFmtId="0" fontId="9" fillId="34" borderId="0" xfId="0" applyFont="1" applyFill="1" applyAlignment="1" applyProtection="1">
      <alignment horizontal="right" vertical="center"/>
      <protection locked="0"/>
    </xf>
    <xf numFmtId="49" fontId="141" fillId="36" borderId="0" xfId="0" applyNumberFormat="1" applyFont="1" applyFill="1" applyBorder="1" applyAlignment="1" applyProtection="1">
      <alignment horizontal="right" vertical="center"/>
      <protection locked="0"/>
    </xf>
    <xf numFmtId="37" fontId="9" fillId="2" borderId="0" xfId="0" applyNumberFormat="1" applyFont="1" applyFill="1" applyAlignment="1">
      <alignment horizontal="right" vertical="center"/>
    </xf>
    <xf numFmtId="49" fontId="9" fillId="2" borderId="0" xfId="0" applyNumberFormat="1" applyFont="1" applyFill="1" applyBorder="1" applyAlignment="1" applyProtection="1">
      <alignment horizontal="right" vertical="center"/>
      <protection locked="0"/>
    </xf>
    <xf numFmtId="37" fontId="9" fillId="2" borderId="0" xfId="0" applyNumberFormat="1" applyFont="1" applyFill="1" applyAlignment="1">
      <alignment horizontal="right" vertical="center" wrapText="1"/>
    </xf>
    <xf numFmtId="37" fontId="9" fillId="34" borderId="0" xfId="0" applyNumberFormat="1" applyFont="1" applyFill="1" applyAlignment="1">
      <alignment horizontal="right" vertical="center" wrapText="1"/>
    </xf>
    <xf numFmtId="196" fontId="7" fillId="34" borderId="0" xfId="59" applyNumberFormat="1" applyFont="1" applyFill="1" applyAlignment="1" applyProtection="1">
      <alignment horizontal="right" vertical="center"/>
      <protection locked="0"/>
    </xf>
    <xf numFmtId="196" fontId="7" fillId="37" borderId="0" xfId="59" applyNumberFormat="1" applyFont="1" applyFill="1" applyAlignment="1" applyProtection="1">
      <alignment horizontal="right" vertical="center"/>
      <protection locked="0"/>
    </xf>
    <xf numFmtId="37" fontId="7" fillId="2" borderId="0" xfId="0" applyNumberFormat="1" applyFont="1" applyFill="1" applyAlignment="1">
      <alignment horizontal="left" vertical="center" indent="1"/>
    </xf>
    <xf numFmtId="39" fontId="7" fillId="34" borderId="0" xfId="0" applyNumberFormat="1" applyFont="1" applyFill="1" applyAlignment="1">
      <alignment horizontal="left" vertical="center" indent="1"/>
    </xf>
    <xf numFmtId="43" fontId="131" fillId="34" borderId="0" xfId="62" applyFont="1" applyFill="1" applyAlignment="1" applyProtection="1">
      <alignment horizontal="right" vertical="center"/>
      <protection locked="0"/>
    </xf>
    <xf numFmtId="0" fontId="142" fillId="0" borderId="0" xfId="0" applyFont="1" applyAlignment="1">
      <alignment vertical="center"/>
    </xf>
    <xf numFmtId="191" fontId="7" fillId="8" borderId="0" xfId="62" applyNumberFormat="1" applyFont="1" applyFill="1" applyAlignment="1">
      <alignment horizontal="right" vertical="center"/>
    </xf>
    <xf numFmtId="175" fontId="115" fillId="2" borderId="0" xfId="0" applyNumberFormat="1" applyFont="1" applyFill="1" applyAlignment="1">
      <alignment horizontal="right" vertical="center"/>
    </xf>
    <xf numFmtId="0" fontId="115" fillId="2" borderId="0" xfId="0" applyFont="1" applyFill="1" applyAlignment="1">
      <alignment horizontal="right" vertical="center"/>
    </xf>
    <xf numFmtId="175" fontId="115" fillId="34" borderId="0" xfId="0" applyNumberFormat="1" applyFont="1" applyFill="1" applyAlignment="1">
      <alignment horizontal="right" vertical="center"/>
    </xf>
    <xf numFmtId="3" fontId="7" fillId="34" borderId="0" xfId="0" applyNumberFormat="1" applyFont="1" applyFill="1" applyAlignment="1">
      <alignment horizontal="right" vertical="center"/>
    </xf>
    <xf numFmtId="3" fontId="7" fillId="37" borderId="0" xfId="0" applyNumberFormat="1" applyFont="1" applyFill="1" applyAlignment="1">
      <alignment horizontal="right" vertical="center"/>
    </xf>
    <xf numFmtId="0" fontId="7" fillId="37" borderId="0" xfId="0" applyFont="1" applyFill="1" applyAlignment="1">
      <alignment horizontal="right" vertical="center"/>
    </xf>
    <xf numFmtId="174" fontId="115" fillId="2" borderId="0" xfId="0" applyNumberFormat="1" applyFont="1" applyFill="1" applyAlignment="1">
      <alignment horizontal="right" vertical="center"/>
    </xf>
    <xf numFmtId="0" fontId="113" fillId="2" borderId="0" xfId="0" applyFont="1" applyFill="1" applyAlignment="1">
      <alignment horizontal="right" vertical="center"/>
    </xf>
    <xf numFmtId="174" fontId="115" fillId="34" borderId="0" xfId="0" applyNumberFormat="1" applyFont="1" applyFill="1" applyAlignment="1">
      <alignment horizontal="right" vertical="center"/>
    </xf>
    <xf numFmtId="3" fontId="7" fillId="2" borderId="0" xfId="0" applyNumberFormat="1" applyFont="1" applyFill="1" applyAlignment="1">
      <alignment horizontal="right" vertical="center"/>
    </xf>
    <xf numFmtId="177" fontId="115" fillId="34" borderId="0" xfId="0" applyNumberFormat="1" applyFont="1" applyFill="1" applyAlignment="1">
      <alignment horizontal="right" vertical="center"/>
    </xf>
    <xf numFmtId="177" fontId="7" fillId="37" borderId="0" xfId="0" applyNumberFormat="1" applyFont="1" applyFill="1" applyAlignment="1">
      <alignment horizontal="right" vertical="center"/>
    </xf>
    <xf numFmtId="175" fontId="115" fillId="37" borderId="0" xfId="0" applyNumberFormat="1" applyFont="1" applyFill="1" applyAlignment="1">
      <alignment horizontal="right" vertical="center"/>
    </xf>
    <xf numFmtId="2" fontId="115" fillId="2" borderId="0" xfId="0" applyNumberFormat="1" applyFont="1" applyFill="1" applyAlignment="1">
      <alignment horizontal="right" vertical="center"/>
    </xf>
    <xf numFmtId="0" fontId="128" fillId="2" borderId="0" xfId="0" applyFont="1" applyFill="1" applyAlignment="1">
      <alignment horizontal="right" vertical="center"/>
    </xf>
    <xf numFmtId="2" fontId="7" fillId="34" borderId="0" xfId="0" applyNumberFormat="1" applyFont="1" applyFill="1" applyAlignment="1">
      <alignment horizontal="right" vertical="center"/>
    </xf>
    <xf numFmtId="174" fontId="7" fillId="2" borderId="0" xfId="0" applyNumberFormat="1" applyFont="1" applyFill="1" applyAlignment="1">
      <alignment horizontal="right" vertical="center"/>
    </xf>
    <xf numFmtId="175" fontId="7" fillId="2" borderId="0" xfId="0" applyNumberFormat="1" applyFont="1" applyFill="1" applyAlignment="1">
      <alignment horizontal="right" vertical="center"/>
    </xf>
    <xf numFmtId="174" fontId="7" fillId="34" borderId="0" xfId="0" applyNumberFormat="1" applyFont="1" applyFill="1" applyAlignment="1">
      <alignment horizontal="right" vertical="center"/>
    </xf>
    <xf numFmtId="177" fontId="7" fillId="2" borderId="0" xfId="0" applyNumberFormat="1" applyFont="1" applyFill="1" applyAlignment="1">
      <alignment horizontal="right" vertical="center"/>
    </xf>
    <xf numFmtId="49" fontId="115" fillId="34" borderId="0" xfId="0" applyNumberFormat="1" applyFont="1" applyFill="1" applyAlignment="1">
      <alignment horizontal="right" vertical="center"/>
    </xf>
    <xf numFmtId="49" fontId="7" fillId="34" borderId="0" xfId="0" applyNumberFormat="1" applyFont="1" applyFill="1" applyBorder="1" applyAlignment="1">
      <alignment horizontal="right" vertical="center"/>
    </xf>
    <xf numFmtId="185" fontId="7" fillId="34" borderId="0" xfId="0" applyNumberFormat="1" applyFont="1" applyFill="1" applyAlignment="1">
      <alignment horizontal="right" vertical="center"/>
    </xf>
    <xf numFmtId="49" fontId="115" fillId="2" borderId="0" xfId="0" applyNumberFormat="1" applyFont="1" applyFill="1" applyAlignment="1">
      <alignment horizontal="right" vertical="center"/>
    </xf>
    <xf numFmtId="49" fontId="7" fillId="2" borderId="0" xfId="0" applyNumberFormat="1" applyFont="1" applyFill="1" applyBorder="1" applyAlignment="1">
      <alignment horizontal="right" vertical="center"/>
    </xf>
    <xf numFmtId="176" fontId="7" fillId="34" borderId="0" xfId="0" applyNumberFormat="1" applyFont="1" applyFill="1" applyAlignment="1">
      <alignment horizontal="right" vertical="center"/>
    </xf>
    <xf numFmtId="176" fontId="7" fillId="37" borderId="0" xfId="0" applyNumberFormat="1" applyFont="1" applyFill="1" applyAlignment="1">
      <alignment horizontal="right" vertical="center"/>
    </xf>
    <xf numFmtId="175" fontId="7" fillId="37" borderId="0" xfId="0" applyNumberFormat="1" applyFont="1" applyFill="1" applyAlignment="1">
      <alignment horizontal="right" vertical="center"/>
    </xf>
    <xf numFmtId="0" fontId="5" fillId="2" borderId="0" xfId="0" applyFont="1" applyFill="1" applyAlignment="1">
      <alignment horizontal="right" vertical="center"/>
    </xf>
    <xf numFmtId="1" fontId="115" fillId="34" borderId="0" xfId="0" applyNumberFormat="1" applyFont="1" applyFill="1" applyAlignment="1">
      <alignment horizontal="right" vertical="center"/>
    </xf>
    <xf numFmtId="1" fontId="7" fillId="34" borderId="0" xfId="0" applyNumberFormat="1" applyFont="1" applyFill="1" applyAlignment="1">
      <alignment horizontal="right" vertical="center"/>
    </xf>
    <xf numFmtId="187" fontId="7" fillId="37" borderId="0" xfId="0" applyNumberFormat="1" applyFont="1" applyFill="1" applyAlignment="1">
      <alignment horizontal="right" vertical="center"/>
    </xf>
    <xf numFmtId="191" fontId="7" fillId="34" borderId="0" xfId="62" applyNumberFormat="1" applyFont="1" applyFill="1" applyAlignment="1" applyProtection="1">
      <alignment horizontal="right" vertical="center"/>
      <protection locked="0"/>
    </xf>
    <xf numFmtId="3" fontId="7" fillId="37" borderId="0" xfId="0" applyNumberFormat="1" applyFont="1" applyFill="1" applyAlignment="1" applyProtection="1">
      <alignment horizontal="right" vertical="center"/>
      <protection locked="0"/>
    </xf>
    <xf numFmtId="1" fontId="7" fillId="34" borderId="0" xfId="0" applyNumberFormat="1" applyFont="1" applyFill="1" applyAlignment="1" applyProtection="1">
      <alignment horizontal="right" vertical="center"/>
      <protection locked="0"/>
    </xf>
    <xf numFmtId="1" fontId="7" fillId="37" borderId="0" xfId="0" applyNumberFormat="1" applyFont="1" applyFill="1" applyAlignment="1">
      <alignment horizontal="right" vertical="center"/>
    </xf>
    <xf numFmtId="187" fontId="7" fillId="8" borderId="0" xfId="0" applyNumberFormat="1" applyFont="1" applyFill="1" applyAlignment="1">
      <alignment horizontal="right" vertical="center"/>
    </xf>
    <xf numFmtId="187" fontId="7" fillId="8" borderId="0" xfId="0" applyNumberFormat="1" applyFont="1" applyFill="1" applyAlignment="1" applyProtection="1">
      <alignment horizontal="right" vertical="center"/>
      <protection locked="0"/>
    </xf>
    <xf numFmtId="37" fontId="6" fillId="34" borderId="0" xfId="0" applyNumberFormat="1" applyFont="1" applyFill="1" applyAlignment="1">
      <alignment horizontal="left" vertical="center" indent="5"/>
    </xf>
    <xf numFmtId="37" fontId="7" fillId="34" borderId="0" xfId="0" applyNumberFormat="1" applyFont="1" applyFill="1" applyAlignment="1" applyProtection="1">
      <alignment horizontal="left" vertical="center" indent="5"/>
      <protection locked="0"/>
    </xf>
    <xf numFmtId="0" fontId="13" fillId="2" borderId="0" xfId="0" applyFont="1" applyFill="1" applyAlignment="1" applyProtection="1">
      <alignment horizontal="center" vertical="center"/>
      <protection locked="0"/>
    </xf>
    <xf numFmtId="0" fontId="128" fillId="2" borderId="0" xfId="0" applyFont="1" applyFill="1" applyAlignment="1">
      <alignment horizontal="center"/>
    </xf>
    <xf numFmtId="0" fontId="124" fillId="2" borderId="0" xfId="0" applyFont="1" applyFill="1" applyAlignment="1">
      <alignment horizontal="center"/>
    </xf>
    <xf numFmtId="37" fontId="6" fillId="34" borderId="0" xfId="0" applyNumberFormat="1" applyFont="1" applyFill="1" applyAlignment="1">
      <alignment horizontal="left" vertical="center" indent="2"/>
    </xf>
    <xf numFmtId="0" fontId="113" fillId="34" borderId="0" xfId="0" applyFont="1" applyFill="1" applyBorder="1" applyAlignment="1">
      <alignment/>
    </xf>
    <xf numFmtId="0" fontId="115" fillId="34" borderId="0" xfId="0" applyFont="1" applyFill="1" applyBorder="1" applyAlignment="1">
      <alignment horizontal="left" vertical="center"/>
    </xf>
    <xf numFmtId="0" fontId="115" fillId="34" borderId="0" xfId="0" applyFont="1" applyFill="1" applyBorder="1" applyAlignment="1">
      <alignment horizontal="right"/>
    </xf>
    <xf numFmtId="0" fontId="113" fillId="34" borderId="0" xfId="0" applyFont="1" applyFill="1" applyBorder="1" applyAlignment="1">
      <alignment horizontal="right"/>
    </xf>
    <xf numFmtId="0" fontId="115" fillId="34" borderId="0" xfId="0" applyFont="1" applyFill="1" applyBorder="1" applyAlignment="1">
      <alignment/>
    </xf>
    <xf numFmtId="37" fontId="7" fillId="34" borderId="0" xfId="0" applyNumberFormat="1" applyFont="1" applyFill="1" applyAlignment="1">
      <alignment horizontal="left" vertical="center" indent="2"/>
    </xf>
    <xf numFmtId="1" fontId="115" fillId="34" borderId="0" xfId="0" applyNumberFormat="1" applyFont="1" applyFill="1" applyAlignment="1">
      <alignment horizontal="right"/>
    </xf>
    <xf numFmtId="0" fontId="7" fillId="34" borderId="0" xfId="0" applyFont="1" applyFill="1" applyAlignment="1">
      <alignment horizontal="right"/>
    </xf>
    <xf numFmtId="0" fontId="7" fillId="37" borderId="0" xfId="0" applyFont="1" applyFill="1" applyAlignment="1">
      <alignment horizontal="right"/>
    </xf>
    <xf numFmtId="1" fontId="115" fillId="2" borderId="0" xfId="0" applyNumberFormat="1" applyFont="1" applyFill="1" applyAlignment="1">
      <alignment horizontal="right"/>
    </xf>
    <xf numFmtId="0" fontId="7" fillId="2" borderId="0" xfId="0" applyFont="1" applyFill="1" applyAlignment="1">
      <alignment horizontal="right"/>
    </xf>
    <xf numFmtId="0" fontId="110" fillId="2" borderId="0" xfId="0" applyFont="1" applyFill="1" applyAlignment="1">
      <alignment horizontal="right"/>
    </xf>
    <xf numFmtId="0" fontId="114" fillId="2" borderId="0" xfId="0" applyFont="1" applyFill="1" applyAlignment="1">
      <alignment horizontal="right"/>
    </xf>
    <xf numFmtId="49" fontId="7" fillId="34" borderId="0" xfId="0" applyNumberFormat="1" applyFont="1" applyFill="1" applyBorder="1" applyAlignment="1" applyProtection="1">
      <alignment horizontal="right" vertical="center"/>
      <protection locked="0"/>
    </xf>
    <xf numFmtId="1" fontId="112" fillId="36" borderId="0" xfId="0" applyNumberFormat="1" applyFont="1" applyFill="1" applyBorder="1" applyAlignment="1" applyProtection="1">
      <alignment horizontal="right" vertical="center"/>
      <protection locked="0"/>
    </xf>
    <xf numFmtId="1" fontId="112" fillId="36" borderId="0" xfId="0" applyNumberFormat="1" applyFont="1" applyFill="1" applyBorder="1" applyAlignment="1" applyProtection="1">
      <alignment horizontal="right" vertical="center"/>
      <protection locked="0"/>
    </xf>
    <xf numFmtId="49" fontId="111" fillId="2" borderId="0" xfId="0" applyNumberFormat="1" applyFont="1" applyFill="1" applyBorder="1" applyAlignment="1">
      <alignment horizontal="right"/>
    </xf>
    <xf numFmtId="0" fontId="113" fillId="2" borderId="0" xfId="0" applyFont="1" applyFill="1" applyAlignment="1">
      <alignment horizontal="right"/>
    </xf>
    <xf numFmtId="0" fontId="123" fillId="2" borderId="0" xfId="0" applyFont="1" applyFill="1" applyAlignment="1">
      <alignment horizontal="right"/>
    </xf>
    <xf numFmtId="177" fontId="115" fillId="34" borderId="0" xfId="0" applyNumberFormat="1" applyFont="1" applyFill="1" applyAlignment="1">
      <alignment horizontal="right"/>
    </xf>
    <xf numFmtId="177" fontId="7" fillId="34" borderId="0" xfId="0" applyNumberFormat="1" applyFont="1" applyFill="1" applyAlignment="1">
      <alignment horizontal="right"/>
    </xf>
    <xf numFmtId="0" fontId="7" fillId="34" borderId="0" xfId="0" applyFont="1" applyFill="1" applyAlignment="1">
      <alignment horizontal="right"/>
    </xf>
    <xf numFmtId="0" fontId="7" fillId="37" borderId="0" xfId="0" applyFont="1" applyFill="1" applyAlignment="1">
      <alignment horizontal="right"/>
    </xf>
    <xf numFmtId="175" fontId="115" fillId="34" borderId="0" xfId="0" applyNumberFormat="1" applyFont="1" applyFill="1" applyAlignment="1">
      <alignment horizontal="right"/>
    </xf>
    <xf numFmtId="175" fontId="7" fillId="34" borderId="0" xfId="0" applyNumberFormat="1" applyFont="1" applyFill="1" applyAlignment="1">
      <alignment horizontal="right"/>
    </xf>
    <xf numFmtId="3" fontId="7" fillId="34" borderId="0" xfId="0" applyNumberFormat="1" applyFont="1" applyFill="1" applyAlignment="1">
      <alignment horizontal="right"/>
    </xf>
    <xf numFmtId="3" fontId="7" fillId="37" borderId="0" xfId="0" applyNumberFormat="1" applyFont="1" applyFill="1" applyAlignment="1">
      <alignment horizontal="right"/>
    </xf>
    <xf numFmtId="175" fontId="115" fillId="2" borderId="0" xfId="0" applyNumberFormat="1" applyFont="1" applyFill="1" applyAlignment="1">
      <alignment horizontal="right"/>
    </xf>
    <xf numFmtId="175" fontId="7" fillId="2" borderId="0" xfId="0" applyNumberFormat="1" applyFont="1" applyFill="1" applyAlignment="1">
      <alignment horizontal="right"/>
    </xf>
    <xf numFmtId="3" fontId="7" fillId="2" borderId="0" xfId="0" applyNumberFormat="1" applyFont="1" applyFill="1" applyAlignment="1">
      <alignment horizontal="right"/>
    </xf>
    <xf numFmtId="49" fontId="112" fillId="2" borderId="0" xfId="0" applyNumberFormat="1" applyFont="1" applyFill="1" applyBorder="1" applyAlignment="1" applyProtection="1">
      <alignment horizontal="right" vertical="center"/>
      <protection locked="0"/>
    </xf>
    <xf numFmtId="49" fontId="7" fillId="37" borderId="0" xfId="0" applyNumberFormat="1" applyFont="1" applyFill="1" applyBorder="1" applyAlignment="1" applyProtection="1">
      <alignment horizontal="right" vertical="center"/>
      <protection locked="0"/>
    </xf>
    <xf numFmtId="0" fontId="7" fillId="37" borderId="0" xfId="0" applyNumberFormat="1" applyFont="1" applyFill="1" applyBorder="1" applyAlignment="1" applyProtection="1">
      <alignment horizontal="right" vertical="center"/>
      <protection locked="0"/>
    </xf>
    <xf numFmtId="1" fontId="7" fillId="37" borderId="0" xfId="0" applyNumberFormat="1" applyFont="1" applyFill="1" applyAlignment="1">
      <alignment horizontal="right"/>
    </xf>
    <xf numFmtId="0" fontId="131" fillId="34" borderId="0" xfId="0" applyFont="1" applyFill="1" applyAlignment="1">
      <alignment horizontal="center" vertical="center"/>
    </xf>
    <xf numFmtId="49" fontId="127" fillId="36" borderId="0" xfId="0" applyNumberFormat="1" applyFont="1" applyFill="1" applyBorder="1" applyAlignment="1" applyProtection="1">
      <alignment horizontal="center" vertical="center"/>
      <protection locked="0"/>
    </xf>
    <xf numFmtId="49" fontId="127" fillId="34" borderId="0" xfId="0" applyNumberFormat="1"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34" borderId="0" xfId="0" applyFont="1" applyFill="1" applyAlignment="1" applyProtection="1">
      <alignment horizontal="center" vertical="center"/>
      <protection locked="0"/>
    </xf>
    <xf numFmtId="0" fontId="9" fillId="34" borderId="0" xfId="0" applyFont="1" applyFill="1" applyAlignment="1" applyProtection="1">
      <alignment vertical="center"/>
      <protection locked="0"/>
    </xf>
    <xf numFmtId="0" fontId="9" fillId="2" borderId="0" xfId="0" applyFont="1" applyFill="1" applyAlignment="1" applyProtection="1">
      <alignment vertical="center"/>
      <protection locked="0"/>
    </xf>
    <xf numFmtId="49" fontId="127" fillId="36" borderId="0" xfId="0" applyNumberFormat="1" applyFont="1" applyFill="1" applyBorder="1" applyAlignment="1" applyProtection="1">
      <alignment vertical="center"/>
      <protection locked="0"/>
    </xf>
    <xf numFmtId="0" fontId="127" fillId="36" borderId="0" xfId="0" applyFont="1" applyFill="1" applyBorder="1" applyAlignment="1">
      <alignment vertical="center"/>
    </xf>
    <xf numFmtId="0" fontId="9" fillId="34" borderId="0" xfId="0" applyFont="1" applyFill="1" applyAlignment="1" applyProtection="1">
      <alignment vertical="center" wrapText="1"/>
      <protection locked="0"/>
    </xf>
    <xf numFmtId="49" fontId="7" fillId="34" borderId="0" xfId="0" applyNumberFormat="1" applyFont="1" applyFill="1" applyBorder="1" applyAlignment="1">
      <alignment horizontal="right"/>
    </xf>
    <xf numFmtId="1" fontId="7" fillId="37" borderId="0" xfId="0" applyNumberFormat="1" applyFont="1" applyFill="1" applyAlignment="1">
      <alignment horizontal="right" vertical="center"/>
    </xf>
    <xf numFmtId="37" fontId="4" fillId="34" borderId="0" xfId="0" applyNumberFormat="1" applyFont="1" applyFill="1" applyBorder="1" applyAlignment="1">
      <alignment horizontal="left" vertical="top" wrapText="1"/>
    </xf>
    <xf numFmtId="0" fontId="143" fillId="34" borderId="0" xfId="0" applyFont="1" applyFill="1" applyAlignment="1">
      <alignment vertical="center" wrapText="1" shrinkToFit="1"/>
    </xf>
    <xf numFmtId="0" fontId="0" fillId="34" borderId="0" xfId="0" applyFill="1" applyAlignment="1">
      <alignment vertical="center"/>
    </xf>
    <xf numFmtId="0" fontId="131" fillId="34" borderId="0" xfId="0" applyFont="1" applyFill="1" applyAlignment="1">
      <alignment vertical="center" wrapText="1"/>
    </xf>
    <xf numFmtId="0" fontId="140" fillId="34" borderId="0" xfId="0" applyFont="1" applyFill="1" applyAlignment="1">
      <alignment/>
    </xf>
    <xf numFmtId="0" fontId="140" fillId="34" borderId="0" xfId="0" applyFont="1" applyFill="1" applyAlignment="1">
      <alignment wrapText="1"/>
    </xf>
    <xf numFmtId="0" fontId="140" fillId="34" borderId="0" xfId="0" applyFont="1" applyFill="1" applyBorder="1" applyAlignment="1">
      <alignment/>
    </xf>
    <xf numFmtId="37" fontId="11" fillId="34" borderId="0" xfId="0" applyNumberFormat="1" applyFont="1" applyFill="1" applyAlignment="1">
      <alignment vertical="center" wrapText="1"/>
    </xf>
    <xf numFmtId="0" fontId="131" fillId="34" borderId="0" xfId="0" applyFont="1" applyFill="1" applyAlignment="1">
      <alignment vertical="center"/>
    </xf>
    <xf numFmtId="37" fontId="11" fillId="34" borderId="0" xfId="0" applyNumberFormat="1" applyFont="1" applyFill="1" applyBorder="1" applyAlignment="1">
      <alignment vertical="center" wrapText="1"/>
    </xf>
    <xf numFmtId="37" fontId="14" fillId="34" borderId="0" xfId="0" applyNumberFormat="1" applyFont="1" applyFill="1" applyBorder="1" applyAlignment="1">
      <alignment vertical="center" wrapText="1"/>
    </xf>
    <xf numFmtId="0" fontId="131" fillId="34" borderId="0" xfId="0" applyFont="1" applyFill="1" applyAlignment="1">
      <alignment wrapText="1"/>
    </xf>
    <xf numFmtId="0" fontId="131" fillId="34" borderId="0" xfId="0" applyFont="1" applyFill="1" applyAlignment="1" applyProtection="1">
      <alignment wrapText="1"/>
      <protection locked="0"/>
    </xf>
    <xf numFmtId="0" fontId="140" fillId="34" borderId="0" xfId="0" applyFont="1" applyFill="1" applyAlignment="1">
      <alignment vertical="center" wrapText="1"/>
    </xf>
    <xf numFmtId="0" fontId="131" fillId="0" borderId="0" xfId="0" applyFont="1" applyFill="1" applyAlignment="1">
      <alignment wrapText="1"/>
    </xf>
    <xf numFmtId="0" fontId="144" fillId="34" borderId="0" xfId="0" applyFont="1" applyFill="1" applyAlignment="1">
      <alignment wrapText="1"/>
    </xf>
    <xf numFmtId="0" fontId="145" fillId="34" borderId="0" xfId="0" applyFont="1" applyFill="1" applyAlignment="1">
      <alignment wrapText="1"/>
    </xf>
    <xf numFmtId="0" fontId="131" fillId="34" borderId="0" xfId="0" applyFont="1" applyFill="1" applyBorder="1" applyAlignment="1">
      <alignment wrapText="1"/>
    </xf>
    <xf numFmtId="37" fontId="146" fillId="34" borderId="0" xfId="0" applyNumberFormat="1" applyFont="1" applyFill="1" applyBorder="1" applyAlignment="1">
      <alignment/>
    </xf>
    <xf numFmtId="37" fontId="146" fillId="34" borderId="0" xfId="0" applyNumberFormat="1" applyFont="1" applyFill="1" applyBorder="1" applyAlignment="1">
      <alignment horizontal="left" vertical="top"/>
    </xf>
    <xf numFmtId="0" fontId="144" fillId="34" borderId="0" xfId="0" applyFont="1" applyFill="1" applyAlignment="1" applyProtection="1">
      <alignment horizontal="left" vertical="center"/>
      <protection locked="0"/>
    </xf>
    <xf numFmtId="0" fontId="123" fillId="34" borderId="0" xfId="0" applyFont="1" applyFill="1" applyAlignment="1" applyProtection="1">
      <alignment horizontal="right"/>
      <protection locked="0"/>
    </xf>
    <xf numFmtId="0" fontId="147" fillId="34" borderId="0" xfId="0" applyFont="1" applyFill="1" applyAlignment="1">
      <alignment/>
    </xf>
    <xf numFmtId="0" fontId="148" fillId="34" borderId="0" xfId="0" applyFont="1" applyFill="1" applyAlignment="1">
      <alignment/>
    </xf>
    <xf numFmtId="0" fontId="143" fillId="34" borderId="0" xfId="0" applyFont="1" applyFill="1" applyAlignment="1">
      <alignment/>
    </xf>
    <xf numFmtId="0" fontId="143" fillId="34" borderId="0" xfId="0" applyFont="1" applyFill="1" applyAlignment="1">
      <alignment vertical="center"/>
    </xf>
    <xf numFmtId="0" fontId="143" fillId="34" borderId="0" xfId="0" applyFont="1" applyFill="1" applyBorder="1" applyAlignment="1">
      <alignment horizontal="center" vertical="center"/>
    </xf>
    <xf numFmtId="0" fontId="143" fillId="34" borderId="0" xfId="54" applyFont="1" applyFill="1" applyBorder="1" applyAlignment="1">
      <alignment horizontal="left" vertical="center"/>
      <protection/>
    </xf>
    <xf numFmtId="0" fontId="149" fillId="34" borderId="0" xfId="43" applyFont="1" applyFill="1" applyAlignment="1">
      <alignment/>
    </xf>
    <xf numFmtId="0" fontId="150" fillId="38" borderId="0" xfId="43" applyFont="1" applyFill="1" applyAlignment="1" quotePrefix="1">
      <alignment horizontal="left" indent="4"/>
    </xf>
    <xf numFmtId="0" fontId="150" fillId="8" borderId="0" xfId="43" applyFont="1" applyFill="1" applyAlignment="1" quotePrefix="1">
      <alignment horizontal="left" indent="4"/>
    </xf>
    <xf numFmtId="0" fontId="150" fillId="39" borderId="0" xfId="43" applyFont="1" applyFill="1" applyAlignment="1" quotePrefix="1">
      <alignment horizontal="left" indent="4"/>
    </xf>
    <xf numFmtId="0" fontId="150" fillId="40" borderId="0" xfId="43" applyFont="1" applyFill="1" applyAlignment="1" quotePrefix="1">
      <alignment horizontal="left" indent="4"/>
    </xf>
    <xf numFmtId="0" fontId="150" fillId="41" borderId="0" xfId="43" applyFont="1" applyFill="1" applyAlignment="1" quotePrefix="1">
      <alignment horizontal="left" indent="4"/>
    </xf>
    <xf numFmtId="0" fontId="15" fillId="38" borderId="0" xfId="43" applyFont="1" applyFill="1" applyAlignment="1" quotePrefix="1">
      <alignment horizontal="left"/>
    </xf>
    <xf numFmtId="0" fontId="131" fillId="11" borderId="0" xfId="0" applyFont="1" applyFill="1" applyAlignment="1" applyProtection="1">
      <alignment horizontal="left" vertical="center"/>
      <protection locked="0"/>
    </xf>
    <xf numFmtId="0" fontId="110" fillId="11" borderId="0" xfId="0" applyFont="1" applyFill="1" applyAlignment="1" applyProtection="1">
      <alignment horizontal="right"/>
      <protection locked="0"/>
    </xf>
    <xf numFmtId="49" fontId="110" fillId="11" borderId="0" xfId="0" applyNumberFormat="1" applyFont="1" applyFill="1" applyAlignment="1" applyProtection="1">
      <alignment horizontal="right"/>
      <protection locked="0"/>
    </xf>
    <xf numFmtId="3" fontId="113" fillId="11" borderId="0" xfId="0" applyNumberFormat="1" applyFont="1" applyFill="1" applyAlignment="1" applyProtection="1">
      <alignment horizontal="right"/>
      <protection locked="0"/>
    </xf>
    <xf numFmtId="0" fontId="130" fillId="11" borderId="0" xfId="0" applyFont="1" applyFill="1" applyAlignment="1" applyProtection="1">
      <alignment horizontal="right" vertical="center" wrapText="1"/>
      <protection locked="0"/>
    </xf>
    <xf numFmtId="0" fontId="130" fillId="11" borderId="0" xfId="0" applyFont="1" applyFill="1" applyAlignment="1" applyProtection="1">
      <alignment vertical="top" wrapText="1"/>
      <protection locked="0"/>
    </xf>
    <xf numFmtId="0" fontId="131" fillId="37" borderId="0" xfId="0" applyFont="1" applyFill="1" applyAlignment="1" applyProtection="1">
      <alignment horizontal="left" vertical="center"/>
      <protection locked="0"/>
    </xf>
    <xf numFmtId="0" fontId="110" fillId="37" borderId="0" xfId="0" applyFont="1" applyFill="1" applyAlignment="1" applyProtection="1">
      <alignment horizontal="right"/>
      <protection locked="0"/>
    </xf>
    <xf numFmtId="49" fontId="110" fillId="37" borderId="0" xfId="0" applyNumberFormat="1" applyFont="1" applyFill="1" applyAlignment="1" applyProtection="1">
      <alignment horizontal="right"/>
      <protection locked="0"/>
    </xf>
    <xf numFmtId="0" fontId="131" fillId="8" borderId="0" xfId="0" applyFont="1" applyFill="1" applyAlignment="1" applyProtection="1">
      <alignment horizontal="left" vertical="center"/>
      <protection locked="0"/>
    </xf>
    <xf numFmtId="0" fontId="110" fillId="8" borderId="0" xfId="0" applyFont="1" applyFill="1" applyAlignment="1" applyProtection="1">
      <alignment horizontal="right"/>
      <protection locked="0"/>
    </xf>
    <xf numFmtId="49" fontId="110" fillId="8" borderId="0" xfId="0" applyNumberFormat="1" applyFont="1" applyFill="1" applyAlignment="1" applyProtection="1">
      <alignment horizontal="right"/>
      <protection locked="0"/>
    </xf>
    <xf numFmtId="3" fontId="113" fillId="8" borderId="0" xfId="0" applyNumberFormat="1" applyFont="1" applyFill="1" applyAlignment="1" applyProtection="1">
      <alignment horizontal="right"/>
      <protection locked="0"/>
    </xf>
    <xf numFmtId="0" fontId="130" fillId="8" borderId="0" xfId="0" applyFont="1" applyFill="1" applyAlignment="1" applyProtection="1">
      <alignment horizontal="right" vertical="center" wrapText="1"/>
      <protection locked="0"/>
    </xf>
    <xf numFmtId="0" fontId="130" fillId="8" borderId="0" xfId="0" applyFont="1" applyFill="1" applyAlignment="1" applyProtection="1">
      <alignment vertical="top" wrapText="1"/>
      <protection locked="0"/>
    </xf>
    <xf numFmtId="0" fontId="131" fillId="42" borderId="0" xfId="0" applyFont="1" applyFill="1" applyAlignment="1" applyProtection="1">
      <alignment horizontal="left" vertical="center"/>
      <protection locked="0"/>
    </xf>
    <xf numFmtId="0" fontId="110" fillId="42" borderId="0" xfId="0" applyFont="1" applyFill="1" applyAlignment="1" applyProtection="1">
      <alignment horizontal="right"/>
      <protection locked="0"/>
    </xf>
    <xf numFmtId="49" fontId="110" fillId="42" borderId="0" xfId="0" applyNumberFormat="1" applyFont="1" applyFill="1" applyAlignment="1" applyProtection="1">
      <alignment horizontal="right"/>
      <protection locked="0"/>
    </xf>
    <xf numFmtId="3" fontId="113" fillId="42" borderId="0" xfId="0" applyNumberFormat="1" applyFont="1" applyFill="1" applyAlignment="1" applyProtection="1">
      <alignment horizontal="right"/>
      <protection locked="0"/>
    </xf>
    <xf numFmtId="0" fontId="130" fillId="42" borderId="0" xfId="0" applyFont="1" applyFill="1" applyAlignment="1" applyProtection="1">
      <alignment horizontal="right" vertical="center" wrapText="1"/>
      <protection locked="0"/>
    </xf>
    <xf numFmtId="0" fontId="130" fillId="42" borderId="0" xfId="0" applyFont="1" applyFill="1" applyAlignment="1" applyProtection="1">
      <alignment vertical="top" wrapText="1"/>
      <protection locked="0"/>
    </xf>
    <xf numFmtId="0" fontId="16" fillId="13" borderId="0" xfId="43" applyFont="1" applyFill="1" applyAlignment="1" quotePrefix="1">
      <alignment horizontal="left"/>
    </xf>
    <xf numFmtId="0" fontId="131" fillId="13" borderId="0" xfId="0" applyFont="1" applyFill="1" applyAlignment="1" applyProtection="1">
      <alignment horizontal="left" vertical="center"/>
      <protection locked="0"/>
    </xf>
    <xf numFmtId="0" fontId="110" fillId="13" borderId="0" xfId="0" applyFont="1" applyFill="1" applyAlignment="1" applyProtection="1">
      <alignment horizontal="right"/>
      <protection locked="0"/>
    </xf>
    <xf numFmtId="49" fontId="110" fillId="13" borderId="0" xfId="0" applyNumberFormat="1" applyFont="1" applyFill="1" applyAlignment="1" applyProtection="1">
      <alignment horizontal="right"/>
      <protection locked="0"/>
    </xf>
    <xf numFmtId="3" fontId="113" fillId="13" borderId="0" xfId="0" applyNumberFormat="1" applyFont="1" applyFill="1" applyAlignment="1" applyProtection="1">
      <alignment horizontal="right"/>
      <protection locked="0"/>
    </xf>
    <xf numFmtId="0" fontId="131" fillId="34" borderId="12" xfId="0" applyFont="1" applyFill="1" applyBorder="1" applyAlignment="1" applyProtection="1">
      <alignment horizontal="right" vertical="center"/>
      <protection locked="0"/>
    </xf>
    <xf numFmtId="0" fontId="0" fillId="0" borderId="0" xfId="0" applyAlignment="1">
      <alignment/>
    </xf>
    <xf numFmtId="0" fontId="110" fillId="34" borderId="0" xfId="0" applyFont="1" applyFill="1" applyAlignment="1" applyProtection="1">
      <alignment/>
      <protection locked="0"/>
    </xf>
    <xf numFmtId="0" fontId="106" fillId="34" borderId="11" xfId="0" applyFont="1" applyFill="1" applyBorder="1" applyAlignment="1">
      <alignment wrapText="1"/>
    </xf>
    <xf numFmtId="0" fontId="119" fillId="34" borderId="0" xfId="0" applyFont="1" applyFill="1" applyAlignment="1">
      <alignment horizontal="right" vertical="center" wrapText="1"/>
    </xf>
    <xf numFmtId="0" fontId="7" fillId="34" borderId="0" xfId="0" applyFont="1" applyFill="1" applyAlignment="1" applyProtection="1">
      <alignment horizontal="left" vertical="center" indent="1"/>
      <protection locked="0"/>
    </xf>
    <xf numFmtId="0" fontId="7" fillId="2" borderId="0" xfId="0" applyFont="1" applyFill="1" applyAlignment="1" applyProtection="1">
      <alignment horizontal="left" vertical="center" indent="1"/>
      <protection locked="0"/>
    </xf>
    <xf numFmtId="0" fontId="127" fillId="36" borderId="0" xfId="0" applyFont="1" applyFill="1" applyBorder="1" applyAlignment="1">
      <alignment horizontal="center" vertical="center"/>
    </xf>
    <xf numFmtId="0" fontId="127" fillId="34" borderId="0" xfId="0" applyFont="1" applyFill="1" applyBorder="1" applyAlignment="1">
      <alignment horizontal="center" vertical="center"/>
    </xf>
    <xf numFmtId="0" fontId="11" fillId="2" borderId="0" xfId="0" applyFont="1" applyFill="1" applyAlignment="1" applyProtection="1">
      <alignment horizontal="left" vertical="center" indent="1"/>
      <protection locked="0"/>
    </xf>
    <xf numFmtId="0" fontId="110" fillId="34" borderId="0" xfId="0" applyFont="1" applyFill="1" applyAlignment="1" applyProtection="1">
      <alignment horizontal="right"/>
      <protection locked="0"/>
    </xf>
    <xf numFmtId="0" fontId="110" fillId="34" borderId="0" xfId="0" applyFont="1" applyFill="1" applyAlignment="1">
      <alignment horizontal="right"/>
    </xf>
    <xf numFmtId="186" fontId="7" fillId="34" borderId="0" xfId="0" applyNumberFormat="1" applyFont="1" applyFill="1" applyAlignment="1">
      <alignment horizontal="right" vertical="center"/>
    </xf>
    <xf numFmtId="186" fontId="7" fillId="34" borderId="0" xfId="0" applyNumberFormat="1" applyFont="1" applyFill="1" applyAlignment="1" applyProtection="1">
      <alignment horizontal="right" vertical="center"/>
      <protection locked="0"/>
    </xf>
    <xf numFmtId="174" fontId="7" fillId="34" borderId="0" xfId="0" applyNumberFormat="1" applyFont="1" applyFill="1" applyAlignment="1">
      <alignment horizontal="right" vertical="center"/>
    </xf>
    <xf numFmtId="4" fontId="7" fillId="34" borderId="0" xfId="0" applyNumberFormat="1" applyFont="1" applyFill="1" applyAlignment="1" applyProtection="1">
      <alignment horizontal="right" vertical="center"/>
      <protection locked="0"/>
    </xf>
    <xf numFmtId="0" fontId="7" fillId="34" borderId="0" xfId="0" applyFont="1" applyFill="1" applyAlignment="1" applyProtection="1">
      <alignment horizontal="right" vertical="center"/>
      <protection locked="0"/>
    </xf>
    <xf numFmtId="185" fontId="7" fillId="34" borderId="0" xfId="0" applyNumberFormat="1" applyFont="1" applyFill="1" applyAlignment="1">
      <alignment horizontal="right" vertical="center"/>
    </xf>
    <xf numFmtId="175" fontId="7" fillId="34" borderId="0" xfId="0" applyNumberFormat="1" applyFont="1" applyFill="1" applyAlignment="1">
      <alignment horizontal="right" vertical="center"/>
    </xf>
    <xf numFmtId="3" fontId="7" fillId="34" borderId="0" xfId="0" applyNumberFormat="1" applyFont="1" applyFill="1" applyAlignment="1" applyProtection="1">
      <alignment horizontal="right" vertical="center"/>
      <protection locked="0"/>
    </xf>
    <xf numFmtId="1" fontId="7" fillId="34" borderId="0" xfId="0" applyNumberFormat="1" applyFont="1" applyFill="1" applyAlignment="1">
      <alignment horizontal="right" vertical="center"/>
    </xf>
    <xf numFmtId="185" fontId="7" fillId="34" borderId="0" xfId="0" applyNumberFormat="1" applyFont="1" applyFill="1" applyAlignment="1" applyProtection="1">
      <alignment horizontal="right" vertical="center"/>
      <protection locked="0"/>
    </xf>
    <xf numFmtId="175" fontId="115" fillId="34" borderId="0" xfId="0" applyNumberFormat="1" applyFont="1" applyFill="1" applyAlignment="1">
      <alignment horizontal="right" vertical="center"/>
    </xf>
    <xf numFmtId="0" fontId="7" fillId="34" borderId="0" xfId="0" applyFont="1" applyFill="1" applyAlignment="1">
      <alignment horizontal="right" vertical="center"/>
    </xf>
    <xf numFmtId="0" fontId="110" fillId="34" borderId="0" xfId="0" applyFont="1" applyFill="1" applyAlignment="1">
      <alignment horizontal="right" vertical="center"/>
    </xf>
    <xf numFmtId="0" fontId="7" fillId="34" borderId="0" xfId="0" applyFont="1" applyFill="1" applyAlignment="1" applyProtection="1">
      <alignment horizontal="right" vertical="center"/>
      <protection locked="0"/>
    </xf>
    <xf numFmtId="179" fontId="7" fillId="34" borderId="0" xfId="0" applyNumberFormat="1" applyFont="1" applyFill="1" applyAlignment="1" applyProtection="1">
      <alignment horizontal="right" vertical="center"/>
      <protection locked="0"/>
    </xf>
    <xf numFmtId="0" fontId="130" fillId="34" borderId="0" xfId="0" applyFont="1" applyFill="1" applyAlignment="1" applyProtection="1">
      <alignment horizontal="right" vertical="center" wrapText="1"/>
      <protection locked="0"/>
    </xf>
    <xf numFmtId="0" fontId="127" fillId="36" borderId="0" xfId="0" applyFont="1" applyFill="1" applyBorder="1" applyAlignment="1">
      <alignment horizontal="center" vertical="center" wrapText="1"/>
    </xf>
    <xf numFmtId="37" fontId="4" fillId="34" borderId="0" xfId="0" applyNumberFormat="1" applyFont="1" applyFill="1" applyBorder="1" applyAlignment="1">
      <alignment vertical="top" wrapText="1"/>
    </xf>
    <xf numFmtId="37" fontId="129" fillId="34" borderId="0" xfId="43" applyNumberFormat="1" applyFont="1" applyFill="1" applyBorder="1" applyAlignment="1" applyProtection="1">
      <alignment horizontal="right"/>
      <protection locked="0"/>
    </xf>
    <xf numFmtId="0" fontId="130" fillId="34" borderId="0" xfId="0" applyFont="1" applyFill="1" applyAlignment="1" applyProtection="1">
      <alignment vertical="top" wrapText="1"/>
      <protection locked="0"/>
    </xf>
    <xf numFmtId="0" fontId="131" fillId="34" borderId="0" xfId="0" applyFont="1" applyFill="1" applyAlignment="1">
      <alignment/>
    </xf>
    <xf numFmtId="37" fontId="9" fillId="34" borderId="0" xfId="0" applyNumberFormat="1" applyFont="1" applyFill="1" applyAlignment="1" applyProtection="1">
      <alignment horizontal="center" vertical="center"/>
      <protection locked="0"/>
    </xf>
    <xf numFmtId="37" fontId="9" fillId="2" borderId="0" xfId="0" applyNumberFormat="1" applyFont="1" applyFill="1" applyAlignment="1" applyProtection="1">
      <alignment horizontal="center" vertical="center"/>
      <protection locked="0"/>
    </xf>
    <xf numFmtId="0" fontId="131" fillId="2" borderId="0" xfId="0" applyFont="1" applyFill="1" applyAlignment="1" applyProtection="1">
      <alignment/>
      <protection locked="0"/>
    </xf>
    <xf numFmtId="37" fontId="9" fillId="34" borderId="0" xfId="0" applyNumberFormat="1" applyFont="1" applyFill="1" applyAlignment="1" applyProtection="1">
      <alignment horizontal="center" vertical="center"/>
      <protection locked="0"/>
    </xf>
    <xf numFmtId="0" fontId="130" fillId="0" borderId="0" xfId="0" applyFont="1" applyBorder="1" applyAlignment="1">
      <alignment wrapText="1"/>
    </xf>
    <xf numFmtId="37" fontId="11" fillId="34" borderId="0" xfId="0" applyNumberFormat="1" applyFont="1" applyFill="1" applyBorder="1" applyAlignment="1">
      <alignment vertical="top" wrapText="1"/>
    </xf>
    <xf numFmtId="37" fontId="11" fillId="34" borderId="0" xfId="0" applyNumberFormat="1" applyFont="1" applyFill="1" applyBorder="1" applyAlignment="1">
      <alignment wrapText="1"/>
    </xf>
    <xf numFmtId="37" fontId="9" fillId="8" borderId="0" xfId="0" applyNumberFormat="1" applyFont="1" applyFill="1" applyAlignment="1" applyProtection="1">
      <alignment horizontal="center" vertical="center"/>
      <protection locked="0"/>
    </xf>
    <xf numFmtId="37" fontId="10" fillId="2" borderId="0" xfId="0" applyNumberFormat="1" applyFont="1" applyFill="1" applyAlignment="1" applyProtection="1">
      <alignment horizontal="center" vertical="center"/>
      <protection locked="0"/>
    </xf>
    <xf numFmtId="175" fontId="7" fillId="34" borderId="0" xfId="0" applyNumberFormat="1" applyFont="1" applyFill="1" applyAlignment="1" applyProtection="1">
      <alignment horizontal="right" vertical="center"/>
      <protection locked="0"/>
    </xf>
    <xf numFmtId="0" fontId="115" fillId="34" borderId="0" xfId="0" applyFont="1" applyFill="1" applyAlignment="1">
      <alignment horizontal="right" vertical="center"/>
    </xf>
    <xf numFmtId="0" fontId="113" fillId="34" borderId="0" xfId="0" applyFont="1" applyFill="1" applyBorder="1" applyAlignment="1">
      <alignment horizontal="right" vertical="center"/>
    </xf>
    <xf numFmtId="0" fontId="127" fillId="34" borderId="0" xfId="0" applyFont="1" applyFill="1" applyBorder="1" applyAlignment="1">
      <alignment horizontal="center" vertical="center" wrapText="1"/>
    </xf>
    <xf numFmtId="3" fontId="7" fillId="34" borderId="0" xfId="0" applyNumberFormat="1" applyFont="1" applyFill="1" applyAlignment="1" applyProtection="1">
      <alignment horizontal="right" vertical="center"/>
      <protection locked="0"/>
    </xf>
    <xf numFmtId="3" fontId="113" fillId="34" borderId="0" xfId="0" applyNumberFormat="1" applyFont="1" applyFill="1" applyAlignment="1" applyProtection="1">
      <alignment horizontal="right"/>
      <protection locked="0"/>
    </xf>
    <xf numFmtId="0" fontId="131" fillId="8" borderId="0" xfId="0" applyFont="1" applyFill="1" applyAlignment="1" applyProtection="1">
      <alignment/>
      <protection locked="0"/>
    </xf>
    <xf numFmtId="0" fontId="111" fillId="34" borderId="0" xfId="0" applyNumberFormat="1" applyFont="1" applyFill="1" applyBorder="1" applyAlignment="1" applyProtection="1">
      <alignment horizontal="right" vertical="center"/>
      <protection locked="0"/>
    </xf>
    <xf numFmtId="175" fontId="7" fillId="34" borderId="0" xfId="0" applyNumberFormat="1" applyFont="1" applyFill="1" applyAlignment="1">
      <alignment horizontal="right" vertical="center"/>
    </xf>
    <xf numFmtId="188" fontId="7" fillId="34" borderId="0" xfId="0" applyNumberFormat="1" applyFont="1" applyFill="1" applyAlignment="1">
      <alignment horizontal="right" vertical="center"/>
    </xf>
    <xf numFmtId="0" fontId="115" fillId="34" borderId="0" xfId="0" applyFont="1" applyFill="1" applyAlignment="1">
      <alignment horizontal="right"/>
    </xf>
    <xf numFmtId="49" fontId="112" fillId="34" borderId="0" xfId="0" applyNumberFormat="1" applyFont="1" applyFill="1" applyBorder="1" applyAlignment="1" applyProtection="1">
      <alignment horizontal="right" vertical="center"/>
      <protection locked="0"/>
    </xf>
    <xf numFmtId="175" fontId="115" fillId="34" borderId="0" xfId="0" applyNumberFormat="1" applyFont="1" applyFill="1" applyAlignment="1">
      <alignment horizontal="right" vertical="center"/>
    </xf>
    <xf numFmtId="3" fontId="7" fillId="34" borderId="0" xfId="0" applyNumberFormat="1" applyFont="1" applyFill="1" applyAlignment="1">
      <alignment horizontal="right" vertical="center"/>
    </xf>
    <xf numFmtId="177" fontId="115" fillId="34" borderId="0" xfId="0" applyNumberFormat="1" applyFont="1" applyFill="1" applyAlignment="1">
      <alignment horizontal="right" vertical="center"/>
    </xf>
    <xf numFmtId="174" fontId="7" fillId="34" borderId="0" xfId="0" applyNumberFormat="1" applyFont="1" applyFill="1" applyAlignment="1">
      <alignment horizontal="right" vertical="center"/>
    </xf>
    <xf numFmtId="176" fontId="7" fillId="34" borderId="0" xfId="0" applyNumberFormat="1" applyFont="1" applyFill="1" applyAlignment="1">
      <alignment horizontal="right" vertical="center"/>
    </xf>
    <xf numFmtId="1" fontId="7" fillId="34" borderId="0" xfId="0" applyNumberFormat="1" applyFont="1" applyFill="1" applyAlignment="1">
      <alignment horizontal="right" vertical="center"/>
    </xf>
    <xf numFmtId="0" fontId="115" fillId="34" borderId="0" xfId="0" applyFont="1" applyFill="1" applyBorder="1" applyAlignment="1">
      <alignment horizontal="right"/>
    </xf>
    <xf numFmtId="37" fontId="4" fillId="34" borderId="0" xfId="0" applyNumberFormat="1" applyFont="1" applyFill="1" applyBorder="1" applyAlignment="1">
      <alignment horizontal="left" vertical="top" wrapText="1"/>
    </xf>
    <xf numFmtId="0" fontId="131" fillId="8" borderId="0" xfId="0" applyFont="1" applyFill="1" applyAlignment="1" applyProtection="1">
      <alignment horizontal="center" vertical="center"/>
      <protection locked="0"/>
    </xf>
    <xf numFmtId="0" fontId="112" fillId="34" borderId="0" xfId="0" applyNumberFormat="1" applyFont="1" applyFill="1" applyBorder="1" applyAlignment="1" applyProtection="1">
      <alignment horizontal="right" vertical="center"/>
      <protection locked="0"/>
    </xf>
    <xf numFmtId="0" fontId="135" fillId="34" borderId="0" xfId="0" applyFont="1" applyFill="1" applyAlignment="1">
      <alignment horizontal="right"/>
    </xf>
    <xf numFmtId="1" fontId="7" fillId="34" borderId="0" xfId="0" applyNumberFormat="1" applyFont="1" applyFill="1" applyAlignment="1" applyProtection="1">
      <alignment horizontal="right" vertical="center"/>
      <protection locked="0"/>
    </xf>
    <xf numFmtId="174" fontId="7" fillId="34" borderId="0" xfId="0" applyNumberFormat="1" applyFont="1" applyFill="1" applyAlignment="1" applyProtection="1">
      <alignment horizontal="right" vertical="center"/>
      <protection locked="0"/>
    </xf>
    <xf numFmtId="0" fontId="110" fillId="34" borderId="0" xfId="0" applyFont="1" applyFill="1" applyAlignment="1" applyProtection="1">
      <alignment horizontal="right" vertical="center"/>
      <protection locked="0"/>
    </xf>
    <xf numFmtId="2" fontId="115" fillId="34" borderId="0" xfId="0" applyNumberFormat="1" applyFont="1" applyFill="1" applyAlignment="1">
      <alignment horizontal="right" vertical="center"/>
    </xf>
    <xf numFmtId="4" fontId="7" fillId="34" borderId="0" xfId="0" applyNumberFormat="1" applyFont="1" applyFill="1" applyAlignment="1" applyProtection="1">
      <alignment horizontal="right" vertical="center"/>
      <protection locked="0"/>
    </xf>
    <xf numFmtId="0" fontId="3" fillId="34" borderId="0" xfId="0" applyFont="1" applyFill="1" applyAlignment="1" applyProtection="1">
      <alignment horizontal="right" vertical="center" wrapText="1"/>
      <protection locked="0"/>
    </xf>
    <xf numFmtId="10" fontId="7" fillId="34" borderId="0" xfId="59" applyNumberFormat="1" applyFont="1" applyFill="1" applyAlignment="1" applyProtection="1">
      <alignment horizontal="right" vertical="center"/>
      <protection locked="0"/>
    </xf>
    <xf numFmtId="196" fontId="7" fillId="34" borderId="0" xfId="59" applyNumberFormat="1" applyFont="1" applyFill="1" applyAlignment="1" applyProtection="1">
      <alignment horizontal="right" vertical="center"/>
      <protection locked="0"/>
    </xf>
    <xf numFmtId="194" fontId="7" fillId="34" borderId="0" xfId="0" applyNumberFormat="1" applyFont="1" applyFill="1" applyAlignment="1" applyProtection="1">
      <alignment horizontal="right" vertical="center"/>
      <protection locked="0"/>
    </xf>
    <xf numFmtId="187" fontId="7" fillId="34" borderId="0" xfId="0" applyNumberFormat="1" applyFont="1" applyFill="1" applyAlignment="1" applyProtection="1">
      <alignment horizontal="right" vertical="center"/>
      <protection locked="0"/>
    </xf>
    <xf numFmtId="9" fontId="3" fillId="34" borderId="0" xfId="59" applyFont="1" applyFill="1" applyAlignment="1" applyProtection="1">
      <alignment horizontal="right" vertical="center" wrapText="1"/>
      <protection locked="0"/>
    </xf>
    <xf numFmtId="49" fontId="128" fillId="34" borderId="0" xfId="0" applyNumberFormat="1" applyFont="1" applyFill="1" applyBorder="1" applyAlignment="1" applyProtection="1">
      <alignment horizontal="right" vertical="center"/>
      <protection locked="0"/>
    </xf>
    <xf numFmtId="191" fontId="7" fillId="34" borderId="0" xfId="62" applyNumberFormat="1" applyFont="1" applyFill="1" applyAlignment="1">
      <alignment horizontal="right" vertical="center"/>
    </xf>
    <xf numFmtId="177" fontId="7" fillId="34" borderId="0" xfId="0" applyNumberFormat="1" applyFont="1" applyFill="1" applyAlignment="1">
      <alignment horizontal="right" vertical="center"/>
    </xf>
    <xf numFmtId="2" fontId="112" fillId="34" borderId="0" xfId="0" applyNumberFormat="1" applyFont="1" applyFill="1" applyBorder="1" applyAlignment="1" applyProtection="1">
      <alignment horizontal="right" vertical="center"/>
      <protection locked="0"/>
    </xf>
    <xf numFmtId="187" fontId="7" fillId="34" borderId="0" xfId="0" applyNumberFormat="1" applyFont="1" applyFill="1" applyAlignment="1">
      <alignment horizontal="right" vertical="center"/>
    </xf>
    <xf numFmtId="0" fontId="114" fillId="34" borderId="0" xfId="0" applyFont="1" applyFill="1" applyAlignment="1">
      <alignment horizontal="right"/>
    </xf>
    <xf numFmtId="1" fontId="112" fillId="34" borderId="0" xfId="0" applyNumberFormat="1" applyFont="1" applyFill="1" applyBorder="1" applyAlignment="1" applyProtection="1">
      <alignment horizontal="center" vertical="center"/>
      <protection locked="0"/>
    </xf>
    <xf numFmtId="1" fontId="7" fillId="34" borderId="0" xfId="0" applyNumberFormat="1" applyFont="1" applyFill="1" applyAlignment="1">
      <alignment horizontal="right"/>
    </xf>
    <xf numFmtId="1" fontId="112" fillId="34" borderId="0" xfId="0" applyNumberFormat="1" applyFont="1" applyFill="1" applyBorder="1" applyAlignment="1" applyProtection="1">
      <alignment horizontal="right" vertical="center"/>
      <protection locked="0"/>
    </xf>
    <xf numFmtId="0" fontId="124" fillId="34" borderId="0" xfId="0" applyFont="1" applyFill="1" applyAlignment="1">
      <alignment horizontal="center"/>
    </xf>
    <xf numFmtId="0" fontId="114" fillId="34" borderId="0" xfId="0" applyFont="1" applyFill="1" applyAlignment="1">
      <alignment horizontal="center"/>
    </xf>
    <xf numFmtId="0" fontId="0" fillId="0" borderId="0" xfId="0" applyAlignment="1">
      <alignment/>
    </xf>
    <xf numFmtId="0" fontId="106" fillId="34" borderId="0" xfId="0" applyFont="1" applyFill="1" applyAlignment="1">
      <alignment horizontal="left" vertical="center" wrapText="1"/>
    </xf>
    <xf numFmtId="0" fontId="110" fillId="34" borderId="0" xfId="0" applyFont="1" applyFill="1" applyAlignment="1">
      <alignment/>
    </xf>
    <xf numFmtId="49" fontId="121" fillId="36" borderId="0" xfId="0" applyNumberFormat="1" applyFont="1" applyFill="1" applyBorder="1" applyAlignment="1" applyProtection="1">
      <alignment horizontal="right" vertical="center"/>
      <protection locked="0"/>
    </xf>
    <xf numFmtId="0" fontId="110" fillId="34" borderId="0" xfId="0" applyFont="1" applyFill="1" applyBorder="1" applyAlignment="1">
      <alignment/>
    </xf>
    <xf numFmtId="1" fontId="115" fillId="34" borderId="0" xfId="0" applyNumberFormat="1" applyFont="1" applyFill="1" applyAlignment="1">
      <alignment horizontal="center"/>
    </xf>
    <xf numFmtId="0" fontId="112" fillId="34" borderId="0" xfId="0" applyNumberFormat="1" applyFont="1" applyFill="1" applyBorder="1" applyAlignment="1" applyProtection="1">
      <alignment horizontal="center" vertical="center"/>
      <protection locked="0"/>
    </xf>
    <xf numFmtId="0" fontId="110" fillId="34" borderId="0" xfId="0" applyFont="1" applyFill="1" applyAlignment="1">
      <alignment horizontal="right"/>
    </xf>
    <xf numFmtId="0" fontId="127" fillId="36" borderId="0" xfId="0" applyFont="1" applyFill="1" applyBorder="1" applyAlignment="1">
      <alignment horizontal="center" vertical="center" wrapText="1"/>
    </xf>
    <xf numFmtId="0" fontId="9" fillId="2" borderId="0" xfId="0" applyFont="1" applyFill="1" applyAlignment="1" applyProtection="1">
      <alignment horizontal="right" vertical="center" wrapText="1"/>
      <protection locked="0"/>
    </xf>
    <xf numFmtId="0" fontId="130" fillId="34" borderId="0" xfId="0" applyFont="1" applyFill="1" applyAlignment="1" applyProtection="1">
      <alignment vertical="top" wrapText="1"/>
      <protection locked="0"/>
    </xf>
    <xf numFmtId="49" fontId="112" fillId="34" borderId="0" xfId="0" applyNumberFormat="1" applyFont="1" applyFill="1" applyBorder="1" applyAlignment="1" applyProtection="1">
      <alignment horizontal="right" vertical="center"/>
      <protection locked="0"/>
    </xf>
    <xf numFmtId="49" fontId="112" fillId="34" borderId="0" xfId="0" applyNumberFormat="1" applyFont="1" applyFill="1" applyBorder="1" applyAlignment="1" applyProtection="1">
      <alignment horizontal="right" vertical="center"/>
      <protection locked="0"/>
    </xf>
    <xf numFmtId="0" fontId="9" fillId="8" borderId="0" xfId="0" applyFont="1" applyFill="1" applyAlignment="1" applyProtection="1">
      <alignment horizontal="right" vertical="center"/>
      <protection locked="0"/>
    </xf>
    <xf numFmtId="0" fontId="9" fillId="2" borderId="0" xfId="0" applyFont="1" applyFill="1" applyAlignment="1" applyProtection="1">
      <alignment horizontal="right" vertical="center"/>
      <protection locked="0"/>
    </xf>
    <xf numFmtId="37" fontId="9" fillId="34" borderId="0" xfId="0" applyNumberFormat="1" applyFont="1" applyFill="1" applyAlignment="1">
      <alignment horizontal="right" vertical="center"/>
    </xf>
    <xf numFmtId="0" fontId="9" fillId="34" borderId="0" xfId="0" applyFont="1" applyFill="1" applyAlignment="1" applyProtection="1">
      <alignment horizontal="right" vertical="center"/>
      <protection locked="0"/>
    </xf>
    <xf numFmtId="49" fontId="141" fillId="36" borderId="0" xfId="0" applyNumberFormat="1" applyFont="1" applyFill="1" applyBorder="1" applyAlignment="1" applyProtection="1">
      <alignment horizontal="right" vertical="center"/>
      <protection locked="0"/>
    </xf>
    <xf numFmtId="37" fontId="9" fillId="2" borderId="0" xfId="0" applyNumberFormat="1" applyFont="1" applyFill="1" applyAlignment="1">
      <alignment horizontal="right" vertical="center"/>
    </xf>
    <xf numFmtId="37" fontId="9" fillId="34" borderId="0" xfId="0" applyNumberFormat="1" applyFont="1" applyFill="1" applyAlignment="1">
      <alignment horizontal="right" vertical="center" wrapText="1"/>
    </xf>
    <xf numFmtId="3" fontId="7" fillId="34" borderId="0" xfId="0" applyNumberFormat="1" applyFont="1" applyFill="1" applyAlignment="1">
      <alignment horizontal="right" vertical="center"/>
    </xf>
    <xf numFmtId="1" fontId="115" fillId="34" borderId="0" xfId="0" applyNumberFormat="1" applyFont="1" applyFill="1" applyAlignment="1">
      <alignment horizontal="right"/>
    </xf>
    <xf numFmtId="0" fontId="7" fillId="34" borderId="0" xfId="0" applyFont="1" applyFill="1" applyAlignment="1">
      <alignment horizontal="right"/>
    </xf>
    <xf numFmtId="49" fontId="7" fillId="34" borderId="0" xfId="0" applyNumberFormat="1" applyFont="1" applyFill="1" applyBorder="1" applyAlignment="1" applyProtection="1">
      <alignment horizontal="right" vertical="center"/>
      <protection locked="0"/>
    </xf>
    <xf numFmtId="0" fontId="7" fillId="34" borderId="0" xfId="0" applyFont="1" applyFill="1" applyAlignment="1">
      <alignment horizontal="right"/>
    </xf>
    <xf numFmtId="3" fontId="7" fillId="34" borderId="0" xfId="0" applyNumberFormat="1" applyFont="1" applyFill="1" applyAlignment="1">
      <alignment horizontal="right"/>
    </xf>
    <xf numFmtId="0" fontId="9" fillId="2" borderId="0" xfId="0" applyFont="1" applyFill="1" applyAlignment="1" applyProtection="1">
      <alignment horizontal="center" vertical="center"/>
      <protection locked="0"/>
    </xf>
    <xf numFmtId="0" fontId="9" fillId="8" borderId="0" xfId="0" applyFont="1" applyFill="1" applyAlignment="1" applyProtection="1">
      <alignment horizontal="center" vertical="center"/>
      <protection locked="0"/>
    </xf>
    <xf numFmtId="37" fontId="9" fillId="34" borderId="0" xfId="0" applyNumberFormat="1" applyFont="1" applyFill="1" applyAlignment="1">
      <alignment horizontal="center" vertical="center"/>
    </xf>
    <xf numFmtId="37" fontId="9" fillId="2" borderId="0" xfId="0" applyNumberFormat="1" applyFont="1" applyFill="1" applyAlignment="1">
      <alignment horizontal="center" vertical="center"/>
    </xf>
    <xf numFmtId="37" fontId="9" fillId="34" borderId="0" xfId="0" applyNumberFormat="1" applyFont="1" applyFill="1" applyAlignment="1">
      <alignment horizontal="center" vertical="center" wrapText="1"/>
    </xf>
    <xf numFmtId="37" fontId="9" fillId="2" borderId="0" xfId="0" applyNumberFormat="1" applyFont="1" applyFill="1" applyAlignment="1">
      <alignment horizontal="center" vertical="center" wrapText="1"/>
    </xf>
    <xf numFmtId="0" fontId="123" fillId="34" borderId="0" xfId="0" applyFont="1" applyFill="1" applyAlignment="1">
      <alignment horizontal="right"/>
    </xf>
    <xf numFmtId="0" fontId="7" fillId="34" borderId="0" xfId="0" applyNumberFormat="1" applyFont="1" applyFill="1" applyBorder="1" applyAlignment="1" applyProtection="1">
      <alignment horizontal="right" vertical="center"/>
      <protection locked="0"/>
    </xf>
    <xf numFmtId="49" fontId="112" fillId="34" borderId="0" xfId="0" applyNumberFormat="1" applyFont="1" applyFill="1" applyBorder="1" applyAlignment="1" applyProtection="1">
      <alignment horizontal="center" vertical="center"/>
      <protection locked="0"/>
    </xf>
    <xf numFmtId="0" fontId="106" fillId="34" borderId="0" xfId="0" applyFont="1" applyFill="1" applyAlignment="1">
      <alignment horizontal="left" vertical="center" wrapText="1"/>
    </xf>
    <xf numFmtId="0" fontId="110" fillId="34" borderId="0" xfId="0" applyFont="1" applyFill="1" applyAlignment="1">
      <alignment/>
    </xf>
    <xf numFmtId="0" fontId="3" fillId="2" borderId="0" xfId="0" applyFont="1" applyFill="1" applyAlignment="1" applyProtection="1">
      <alignment horizontal="right" vertical="center"/>
      <protection locked="0"/>
    </xf>
    <xf numFmtId="37" fontId="122" fillId="34" borderId="0" xfId="43" applyNumberFormat="1" applyFont="1" applyFill="1" applyAlignment="1" applyProtection="1">
      <alignment horizontal="left" vertical="center"/>
      <protection locked="0"/>
    </xf>
    <xf numFmtId="49" fontId="112" fillId="36" borderId="0" xfId="0" applyNumberFormat="1" applyFont="1" applyFill="1" applyBorder="1" applyAlignment="1" applyProtection="1">
      <alignment horizontal="left" vertical="center"/>
      <protection locked="0"/>
    </xf>
    <xf numFmtId="0" fontId="112" fillId="34" borderId="0" xfId="0" applyFont="1" applyFill="1" applyAlignment="1" applyProtection="1">
      <alignment horizontal="left" vertical="center"/>
      <protection locked="0"/>
    </xf>
    <xf numFmtId="37" fontId="7" fillId="34" borderId="0" xfId="0" applyNumberFormat="1" applyFont="1" applyFill="1" applyAlignment="1">
      <alignment horizontal="left" vertical="center"/>
    </xf>
    <xf numFmtId="0" fontId="110" fillId="34" borderId="0" xfId="0" applyFont="1" applyFill="1" applyAlignment="1">
      <alignment horizontal="left" vertical="center"/>
    </xf>
    <xf numFmtId="37" fontId="4" fillId="34" borderId="0" xfId="0" applyNumberFormat="1" applyFont="1" applyFill="1" applyAlignment="1">
      <alignment horizontal="right" vertical="center"/>
    </xf>
    <xf numFmtId="0" fontId="110" fillId="34" borderId="0" xfId="0" applyFont="1" applyFill="1" applyAlignment="1">
      <alignment horizontal="center"/>
    </xf>
    <xf numFmtId="0" fontId="112" fillId="34" borderId="0" xfId="0" applyNumberFormat="1" applyFont="1" applyFill="1" applyBorder="1" applyAlignment="1" applyProtection="1">
      <alignment horizontal="center" vertical="center"/>
      <protection locked="0"/>
    </xf>
    <xf numFmtId="37" fontId="7" fillId="34" borderId="0" xfId="0" applyNumberFormat="1" applyFont="1" applyFill="1" applyBorder="1" applyAlignment="1">
      <alignment horizontal="left" vertical="center" wrapText="1"/>
    </xf>
    <xf numFmtId="37" fontId="8" fillId="34" borderId="0" xfId="0" applyNumberFormat="1" applyFont="1" applyFill="1" applyBorder="1" applyAlignment="1">
      <alignment horizontal="left" vertical="center" wrapText="1"/>
    </xf>
    <xf numFmtId="49" fontId="126" fillId="34" borderId="0" xfId="0" applyNumberFormat="1" applyFont="1" applyFill="1" applyBorder="1" applyAlignment="1" applyProtection="1">
      <alignment horizontal="right" vertical="center"/>
      <protection locked="0"/>
    </xf>
    <xf numFmtId="0" fontId="110" fillId="34" borderId="0" xfId="0" applyFont="1" applyFill="1" applyAlignment="1">
      <alignment horizontal="right"/>
    </xf>
    <xf numFmtId="188" fontId="7" fillId="34" borderId="0" xfId="0" applyNumberFormat="1" applyFont="1" applyFill="1" applyAlignment="1" applyProtection="1">
      <alignment horizontal="right" vertical="center"/>
      <protection locked="0"/>
    </xf>
    <xf numFmtId="0" fontId="127" fillId="36" borderId="0" xfId="0" applyFont="1" applyFill="1" applyBorder="1" applyAlignment="1">
      <alignment horizontal="center" vertical="center" wrapText="1"/>
    </xf>
    <xf numFmtId="0" fontId="130" fillId="34" borderId="0" xfId="0" applyFont="1" applyFill="1" applyAlignment="1" applyProtection="1">
      <alignment vertical="top" wrapText="1"/>
      <protection locked="0"/>
    </xf>
    <xf numFmtId="0" fontId="127" fillId="34" borderId="0" xfId="0" applyFont="1" applyFill="1" applyBorder="1" applyAlignment="1">
      <alignment horizontal="right" vertical="center" wrapText="1"/>
    </xf>
    <xf numFmtId="49" fontId="112" fillId="34" borderId="0" xfId="0" applyNumberFormat="1" applyFont="1" applyFill="1" applyBorder="1" applyAlignment="1" applyProtection="1">
      <alignment horizontal="right" vertical="center"/>
      <protection locked="0"/>
    </xf>
    <xf numFmtId="3" fontId="7" fillId="34" borderId="0" xfId="0" applyNumberFormat="1" applyFont="1" applyFill="1" applyAlignment="1">
      <alignment horizontal="right" vertical="center"/>
    </xf>
    <xf numFmtId="0" fontId="9" fillId="2" borderId="0" xfId="0" applyFont="1" applyFill="1" applyAlignment="1" applyProtection="1">
      <alignment horizontal="center" vertical="center"/>
      <protection locked="0"/>
    </xf>
    <xf numFmtId="37" fontId="9" fillId="34" borderId="0" xfId="0" applyNumberFormat="1" applyFont="1" applyFill="1" applyAlignment="1">
      <alignment horizontal="center" vertical="center" wrapText="1"/>
    </xf>
    <xf numFmtId="0" fontId="0" fillId="34" borderId="0" xfId="0" applyFill="1" applyAlignment="1">
      <alignment/>
    </xf>
    <xf numFmtId="0" fontId="110" fillId="34" borderId="0" xfId="0" applyFont="1" applyFill="1" applyAlignment="1">
      <alignment/>
    </xf>
    <xf numFmtId="0" fontId="115" fillId="34" borderId="0" xfId="0" applyFont="1" applyFill="1" applyAlignment="1">
      <alignment/>
    </xf>
    <xf numFmtId="49" fontId="112" fillId="36" borderId="0" xfId="0" applyNumberFormat="1" applyFont="1" applyFill="1" applyBorder="1" applyAlignment="1" applyProtection="1">
      <alignment horizontal="center" vertical="center"/>
      <protection locked="0"/>
    </xf>
    <xf numFmtId="0" fontId="5" fillId="34" borderId="0" xfId="0" applyFont="1" applyFill="1" applyAlignment="1" applyProtection="1">
      <alignment horizontal="left" vertical="center"/>
      <protection locked="0"/>
    </xf>
    <xf numFmtId="0" fontId="106" fillId="34" borderId="0" xfId="0" applyFont="1" applyFill="1" applyBorder="1" applyAlignment="1">
      <alignment horizontal="left" vertical="center" wrapText="1"/>
    </xf>
    <xf numFmtId="49" fontId="126" fillId="36" borderId="0" xfId="0" applyNumberFormat="1" applyFont="1" applyFill="1" applyBorder="1" applyAlignment="1" applyProtection="1">
      <alignment horizontal="right" vertical="center"/>
      <protection locked="0"/>
    </xf>
    <xf numFmtId="0" fontId="3" fillId="2" borderId="0" xfId="0" applyFont="1" applyFill="1" applyAlignment="1" applyProtection="1">
      <alignment horizontal="right" vertical="center"/>
      <protection locked="0"/>
    </xf>
    <xf numFmtId="37" fontId="4" fillId="34" borderId="0" xfId="0" applyNumberFormat="1" applyFont="1" applyFill="1" applyAlignment="1">
      <alignment horizontal="right" vertical="center"/>
    </xf>
    <xf numFmtId="37" fontId="9" fillId="34" borderId="0" xfId="0" applyNumberFormat="1" applyFont="1" applyFill="1" applyAlignment="1" applyProtection="1">
      <alignment horizontal="center" vertical="center"/>
      <protection locked="0"/>
    </xf>
    <xf numFmtId="0" fontId="9" fillId="2" borderId="0" xfId="0" applyFont="1" applyFill="1" applyAlignment="1" applyProtection="1">
      <alignment horizontal="center" vertical="center"/>
      <protection locked="0"/>
    </xf>
    <xf numFmtId="37" fontId="9" fillId="34" borderId="0" xfId="0" applyNumberFormat="1" applyFont="1" applyFill="1" applyAlignment="1">
      <alignment horizontal="center" vertical="center"/>
    </xf>
    <xf numFmtId="37" fontId="9" fillId="2" borderId="0" xfId="0" applyNumberFormat="1" applyFont="1" applyFill="1" applyAlignment="1">
      <alignment horizontal="center" vertical="center"/>
    </xf>
    <xf numFmtId="37" fontId="9" fillId="34" borderId="0" xfId="0" applyNumberFormat="1" applyFont="1" applyFill="1" applyAlignment="1">
      <alignment horizontal="center" vertical="center" wrapText="1"/>
    </xf>
    <xf numFmtId="0" fontId="9" fillId="2" borderId="0" xfId="0" applyFont="1" applyFill="1" applyAlignment="1" applyProtection="1">
      <alignment horizontal="center" vertical="center"/>
      <protection locked="0"/>
    </xf>
    <xf numFmtId="0" fontId="17" fillId="39" borderId="0" xfId="43" applyFont="1" applyFill="1" applyAlignment="1" quotePrefix="1">
      <alignment horizontal="left"/>
    </xf>
    <xf numFmtId="0" fontId="80" fillId="34" borderId="0" xfId="0" applyFont="1" applyFill="1" applyAlignment="1">
      <alignment/>
    </xf>
    <xf numFmtId="0" fontId="15" fillId="39" borderId="0" xfId="43" applyFont="1" applyFill="1" applyAlignment="1" quotePrefix="1">
      <alignment horizontal="left"/>
    </xf>
    <xf numFmtId="0" fontId="15" fillId="2" borderId="0" xfId="0" applyFont="1" applyFill="1" applyAlignment="1" applyProtection="1">
      <alignment horizontal="left"/>
      <protection locked="0"/>
    </xf>
    <xf numFmtId="0" fontId="5" fillId="41" borderId="0" xfId="0" applyFont="1" applyFill="1" applyAlignment="1" applyProtection="1">
      <alignment horizontal="left"/>
      <protection locked="0"/>
    </xf>
    <xf numFmtId="0" fontId="88" fillId="0" borderId="0" xfId="43" applyAlignment="1">
      <alignment horizontal="left" vertical="center" wrapText="1" indent="1"/>
    </xf>
    <xf numFmtId="0" fontId="149" fillId="0" borderId="0" xfId="43" applyFont="1" applyAlignment="1">
      <alignment/>
    </xf>
    <xf numFmtId="0" fontId="151" fillId="11" borderId="0" xfId="0" applyFont="1" applyFill="1" applyAlignment="1" applyProtection="1">
      <alignment horizontal="left" vertical="center"/>
      <protection locked="0"/>
    </xf>
    <xf numFmtId="0" fontId="151" fillId="8" borderId="0" xfId="0" applyFont="1" applyFill="1" applyAlignment="1" applyProtection="1">
      <alignment horizontal="left" vertical="center"/>
      <protection locked="0"/>
    </xf>
    <xf numFmtId="0" fontId="151" fillId="42" borderId="0" xfId="0" applyFont="1" applyFill="1" applyAlignment="1" applyProtection="1">
      <alignment horizontal="left" vertical="center"/>
      <protection locked="0"/>
    </xf>
    <xf numFmtId="0" fontId="151" fillId="37" borderId="0" xfId="0" applyFont="1" applyFill="1" applyAlignment="1" applyProtection="1">
      <alignment horizontal="left" vertical="center"/>
      <protection locked="0"/>
    </xf>
    <xf numFmtId="0" fontId="140" fillId="0" borderId="0" xfId="0" applyFont="1" applyFill="1" applyAlignment="1">
      <alignment wrapText="1"/>
    </xf>
    <xf numFmtId="0" fontId="152" fillId="34" borderId="0" xfId="0" applyFont="1" applyFill="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fa_row_header_bold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200025</xdr:rowOff>
    </xdr:from>
    <xdr:to>
      <xdr:col>2</xdr:col>
      <xdr:colOff>3419475</xdr:colOff>
      <xdr:row>4</xdr:row>
      <xdr:rowOff>1933575</xdr:rowOff>
    </xdr:to>
    <xdr:pic>
      <xdr:nvPicPr>
        <xdr:cNvPr id="1" name="Рисунок 1"/>
        <xdr:cNvPicPr preferRelativeResize="1">
          <a:picLocks noChangeAspect="1"/>
        </xdr:cNvPicPr>
      </xdr:nvPicPr>
      <xdr:blipFill>
        <a:blip r:embed="rId1"/>
        <a:stretch>
          <a:fillRect/>
        </a:stretch>
      </xdr:blipFill>
      <xdr:spPr>
        <a:xfrm>
          <a:off x="0" y="962025"/>
          <a:ext cx="5067300" cy="1733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1</xdr:col>
      <xdr:colOff>2447925</xdr:colOff>
      <xdr:row>0</xdr:row>
      <xdr:rowOff>914400</xdr:rowOff>
    </xdr:to>
    <xdr:pic>
      <xdr:nvPicPr>
        <xdr:cNvPr id="1" name="Рисунок 1"/>
        <xdr:cNvPicPr preferRelativeResize="1">
          <a:picLocks noChangeAspect="1"/>
        </xdr:cNvPicPr>
      </xdr:nvPicPr>
      <xdr:blipFill>
        <a:blip r:embed="rId1"/>
        <a:stretch>
          <a:fillRect/>
        </a:stretch>
      </xdr:blipFill>
      <xdr:spPr>
        <a:xfrm>
          <a:off x="438150" y="57150"/>
          <a:ext cx="26193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2609850</xdr:colOff>
      <xdr:row>0</xdr:row>
      <xdr:rowOff>857250</xdr:rowOff>
    </xdr:to>
    <xdr:pic>
      <xdr:nvPicPr>
        <xdr:cNvPr id="1" name="Рисунок 2"/>
        <xdr:cNvPicPr preferRelativeResize="1">
          <a:picLocks noChangeAspect="1"/>
        </xdr:cNvPicPr>
      </xdr:nvPicPr>
      <xdr:blipFill>
        <a:blip r:embed="rId1"/>
        <a:stretch>
          <a:fillRect/>
        </a:stretch>
      </xdr:blipFill>
      <xdr:spPr>
        <a:xfrm>
          <a:off x="609600" y="0"/>
          <a:ext cx="260985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2619375</xdr:colOff>
      <xdr:row>0</xdr:row>
      <xdr:rowOff>857250</xdr:rowOff>
    </xdr:to>
    <xdr:pic>
      <xdr:nvPicPr>
        <xdr:cNvPr id="1" name="Рисунок 1"/>
        <xdr:cNvPicPr preferRelativeResize="1">
          <a:picLocks noChangeAspect="1"/>
        </xdr:cNvPicPr>
      </xdr:nvPicPr>
      <xdr:blipFill>
        <a:blip r:embed="rId1"/>
        <a:stretch>
          <a:fillRect/>
        </a:stretch>
      </xdr:blipFill>
      <xdr:spPr>
        <a:xfrm>
          <a:off x="609600" y="0"/>
          <a:ext cx="2619375" cy="857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2609850</xdr:colOff>
      <xdr:row>0</xdr:row>
      <xdr:rowOff>857250</xdr:rowOff>
    </xdr:to>
    <xdr:pic>
      <xdr:nvPicPr>
        <xdr:cNvPr id="1" name="Рисунок 2"/>
        <xdr:cNvPicPr preferRelativeResize="1">
          <a:picLocks noChangeAspect="1"/>
        </xdr:cNvPicPr>
      </xdr:nvPicPr>
      <xdr:blipFill>
        <a:blip r:embed="rId1"/>
        <a:stretch>
          <a:fillRect/>
        </a:stretch>
      </xdr:blipFill>
      <xdr:spPr>
        <a:xfrm>
          <a:off x="609600" y="0"/>
          <a:ext cx="2609850" cy="857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2609850</xdr:colOff>
      <xdr:row>0</xdr:row>
      <xdr:rowOff>857250</xdr:rowOff>
    </xdr:to>
    <xdr:pic>
      <xdr:nvPicPr>
        <xdr:cNvPr id="1" name="Рисунок 1"/>
        <xdr:cNvPicPr preferRelativeResize="1">
          <a:picLocks noChangeAspect="1"/>
        </xdr:cNvPicPr>
      </xdr:nvPicPr>
      <xdr:blipFill>
        <a:blip r:embed="rId1"/>
        <a:stretch>
          <a:fillRect/>
        </a:stretch>
      </xdr:blipFill>
      <xdr:spPr>
        <a:xfrm>
          <a:off x="609600" y="0"/>
          <a:ext cx="26098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novatek.ru"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novatek.ru/common/upload/doc/NOVATEK_AR_21_RUS.pdf" TargetMode="External" /><Relationship Id="rId2" Type="http://schemas.openxmlformats.org/officeDocument/2006/relationships/hyperlink" Target="https://www.novatek.ru/common/upload/doc/NOVATEK_AR_21_ENG.pdf" TargetMode="External" /><Relationship Id="rId3" Type="http://schemas.openxmlformats.org/officeDocument/2006/relationships/hyperlink" Target="https://www.novatek.ru/common/upload/2022_Novatek_OUR_EN.pdf" TargetMode="External" /><Relationship Id="rId4" Type="http://schemas.openxmlformats.org/officeDocument/2006/relationships/hyperlink" Target="https://www.novatek.ru/common/upload/2022_Novatek_OUR_RUS.pdf" TargetMode="External" /><Relationship Id="rId5" Type="http://schemas.openxmlformats.org/officeDocument/2006/relationships/hyperlink" Target="https://www.novatek.ru/ru/investors/reviews/archive/" TargetMode="External" /><Relationship Id="rId6" Type="http://schemas.openxmlformats.org/officeDocument/2006/relationships/hyperlink" Target="https://www.novatek.ru/en/investors/reviews/archive/" TargetMode="External" /><Relationship Id="rId7" Type="http://schemas.openxmlformats.org/officeDocument/2006/relationships/hyperlink" Target="https://www.novatek.ru/en/development/archive/" TargetMode="External" /><Relationship Id="rId8" Type="http://schemas.openxmlformats.org/officeDocument/2006/relationships/hyperlink" Target="https://www.novatek.ru/ru/development/archive/" TargetMode="External" /><Relationship Id="rId9" Type="http://schemas.openxmlformats.org/officeDocument/2006/relationships/hyperlink" Target="https://www.novatek.ru/common/upload/doc/Polit0422.pdf" TargetMode="External" /><Relationship Id="rId10" Type="http://schemas.openxmlformats.org/officeDocument/2006/relationships/hyperlink" Target="https://www.novatek.ru/common/upload/doc/Politika_utv.2016_(002)_(1)(en).pdf" TargetMode="External" /><Relationship Id="rId11" Type="http://schemas.openxmlformats.org/officeDocument/2006/relationships/hyperlink" Target="https://www.novatek.ru/common/upload/doc/Kodeks_delovoy_etiki_OAO_NOVATEK.pdf" TargetMode="External" /><Relationship Id="rId12" Type="http://schemas.openxmlformats.org/officeDocument/2006/relationships/hyperlink" Target="https://www.novatek.ru/common/upload/doc/Code_of_Ethics_ENG.pdf" TargetMode="External" /><Relationship Id="rId13" Type="http://schemas.openxmlformats.org/officeDocument/2006/relationships/hyperlink" Target="https://www.novatek.ru/common/upload/Anticorpolen.pdf" TargetMode="External" /><Relationship Id="rId14" Type="http://schemas.openxmlformats.org/officeDocument/2006/relationships/hyperlink" Target="https://www.novatek.ru/common/upload/Anticorpol.pdf" TargetMode="External" /><Relationship Id="rId15" Type="http://schemas.openxmlformats.org/officeDocument/2006/relationships/hyperlink" Target="https://www.novatek.ru/common/upload/doc/Kodeks_povedeniya_Postavshchika_Gruppy_kompanii_PAO_NOVATEK.pdf" TargetMode="External" /><Relationship Id="rId16" Type="http://schemas.openxmlformats.org/officeDocument/2006/relationships/hyperlink" Target="https://www.novatek.ru/common/upload/doc/Supplier_Code_of_Conduct_for_Novatek.pdf" TargetMode="External" /><Relationship Id="rId17" Type="http://schemas.openxmlformats.org/officeDocument/2006/relationships/hyperlink" Target="https://www.novatek.ru/common/upload/doc/NOVATEK_Human_Rights_Policy%5b1%5d.pdf" TargetMode="External" /><Relationship Id="rId18" Type="http://schemas.openxmlformats.org/officeDocument/2006/relationships/hyperlink" Target="https://www.novatek.ru/common/upload/doc/Politika_po_pravam_cheloveka_PAO_NOVATEK%5b1%5d.pdf" TargetMode="External" /><Relationship Id="rId19" Type="http://schemas.openxmlformats.org/officeDocument/2006/relationships/hyperlink" Target="https://www.novatek.ru/common/upload/%D0%A3%D1%81%D1%82%D0%B0%D0%B2%20%20%D0%9D%D0%9E%D0%92%D0%90%D0%A2%D0%AD%D0%9A%20%D0%BE%D1%82%2010_06_05%20%D1%81%20%D0%B8%D0%B7%D0%BC%20%D0%B8%20%D0%B4%D0%BE%D0%BF%202005-2019_CLEAN.pdf" TargetMode="External" /><Relationship Id="rId20" Type="http://schemas.openxmlformats.org/officeDocument/2006/relationships/hyperlink" Target="https://www.novatek.ru/common/upload/Charter_30_09_2019.pdf" TargetMode="External" /><Relationship Id="rId21" Type="http://schemas.openxmlformats.org/officeDocument/2006/relationships/hyperlink" Target="https://www.novatek.ru/common/upload/%D0%9F%D0%BE%D0%BB%D0%BE%D0%B6%D0%B5%D0%BD%D0%B8%D0%B5%20%D0%BE%D0%B1%20%D0%9E%D0%A1%D0%90%20%D1%81%20%D0%B8%D0%B7%D0%BC%202016%20%D0%B3_.pdf" TargetMode="External" /><Relationship Id="rId22" Type="http://schemas.openxmlformats.org/officeDocument/2006/relationships/hyperlink" Target="https://www.novatek.ru/common/upload/%D0%9F%D0%BE%D0%BB%D0%BE%D0%B6%D0%B5%D0%BD%D0%B8%D0%B5%20%D0%BE%D0%B1%20%D0%9E%D0%A1%D0%90%20%D1%81%20%D0%B8%D0%B7%D0%BC%202016%20%D0%B3%20_CLEAN(en)%20(003).pdf" TargetMode="External" /><Relationship Id="rId23" Type="http://schemas.openxmlformats.org/officeDocument/2006/relationships/hyperlink" Target="https://www.novatek.ru/common/upload/%D0%9F%D0%BE%D0%BB%D0%BE%D0%B6%D0%B5%D0%BD%D0%B8%D0%B5%20%D0%BE%20%D0%A1%D0%94%20%D1%81%20%D0%B8%D0%B7%D0%BC%202016_CLEAN(en).pdf" TargetMode="External" /><Relationship Id="rId24" Type="http://schemas.openxmlformats.org/officeDocument/2006/relationships/hyperlink" Target="https://www.novatek.ru/common/upload/%D0%9F%D0%BE%D0%BB%D0%BE%D0%B6%D0%B5%D0%BD%D0%B8%D0%B5%20%D0%BE%20%D0%9F%D1%80%D0%B0%D0%B2%D0%BB%D0%B5%D0%BD%D0%B8%D0%B5%20%D1%81%20%D0%B8%D0%B7%D0%BC%202016_CLEAN(en).pdf" TargetMode="External" /><Relationship Id="rId25" Type="http://schemas.openxmlformats.org/officeDocument/2006/relationships/hyperlink" Target="https://www.novatek.ru/common/upload/%D0%9F%D0%BE%D0%BB%D0%BE%D0%B6%D0%B5%D0%BD%D0%B8%D0%B5%20%D0%BE%20%D0%9F%D1%80%D0%B0%D0%B2%D0%BB%D0%B5%D0%BD%D0%B8%D0%B8%20%D0%B8%20%D0%B8%D0%B7%D0%BC%202016.pdf" TargetMode="External" /><Relationship Id="rId26" Type="http://schemas.openxmlformats.org/officeDocument/2006/relationships/hyperlink" Target="https://www.novatek.ru/common/upload/%D0%9F%D0%BE%D0%BB%D0%BE%D0%B6%D0%B5%D0%BD%D0%B8%D0%B5%20%D0%BE%20%D0%A1%D0%94%20%D1%81%20%D0%B8%D0%B7%D0%BC%202016.pdf" TargetMode="External" /><Relationship Id="rId27" Type="http://schemas.openxmlformats.org/officeDocument/2006/relationships/hyperlink" Target="https://www.novatek.ru/common/upload/%D0%9F%D0%BE%D0%BB%D0%BE%D0%B6%D0%B5%D0%BD%D0%B8%D0%B5%20%D0%BE%20%D0%9A%D0%BE%D0%BC%D0%B8%D1%82%D0%B5%D1%82%D0%B5%20%D0%BF%D0%BE%20%D0%B2%D0%BE%D0%B7%D0%BD%20%D0%B8%20%D0%BD%D0%BE%D0%BC%D0%B8%D0%BD%D0%B0%D1%86%D0%B8%D" TargetMode="External" /><Relationship Id="rId28" Type="http://schemas.openxmlformats.org/officeDocument/2006/relationships/hyperlink" Target="https://www.novatek.ru/common/upload/%D0%9A%D0%BE%D0%BC%D0%B8%D1%82%D0%B5%D1%82%20%D0%BF%D0%BE%20%D0%B0%D1%83%D0%B4%D0%B8%D1%82%D1%83(4).pdf" TargetMode="External" /><Relationship Id="rId29" Type="http://schemas.openxmlformats.org/officeDocument/2006/relationships/hyperlink" Target="https://www.novatek.ru/common/upload/7_1_Regulations%20on%20inform%20policy_RUS.pdf" TargetMode="External" /><Relationship Id="rId30" Type="http://schemas.openxmlformats.org/officeDocument/2006/relationships/hyperlink" Target="https://www.novatek.ru/common/upload/doc/DivRus20.pdf" TargetMode="External" /><Relationship Id="rId31" Type="http://schemas.openxmlformats.org/officeDocument/2006/relationships/hyperlink" Target="https://www.novatek.ru/common/upload/%D0%9A%D0%BE%D0%BC%D0%B8%D1%82%D0%B5%D1%82%20%D0%BF%D0%BE%20%D1%81%D1%82%D1%80%D0%B0%D1%82%D0%B5%D0%B3%D0%B8%D0%B8(4).pdf" TargetMode="External" /><Relationship Id="rId32" Type="http://schemas.openxmlformats.org/officeDocument/2006/relationships/hyperlink" Target="https://www.novatek.ru/common/upload/doc/Code_of_Corp_Governance_rus.pdf" TargetMode="External" /><Relationship Id="rId33" Type="http://schemas.openxmlformats.org/officeDocument/2006/relationships/hyperlink" Target="https://www.novatek.ru/common/upload/CorpSec.pdf" TargetMode="External" /><Relationship Id="rId34" Type="http://schemas.openxmlformats.org/officeDocument/2006/relationships/hyperlink" Target="https://www.novatek.ru/common/upload/%D0%9F%D0%BE%D0%BB%D0%B8%D1%82%D0%B8%D0%BA%D0%B0%20%D0%A3%D0%92%D0%90_%D1%81%20%D0%B8%D0%B7%D0%BC%D0%B5%D0%BD%D0%B5%D0%BD%D0%B8%D1%8F%D0%BC%D0%B8%202018.pdf" TargetMode="External" /><Relationship Id="rId35" Type="http://schemas.openxmlformats.org/officeDocument/2006/relationships/hyperlink" Target="https://www.novatek.ru/common/upload/doc/SUR_ru.pdf" TargetMode="External" /><Relationship Id="rId36" Type="http://schemas.openxmlformats.org/officeDocument/2006/relationships/hyperlink" Target="https://www.novatek.ru/common/upload/5_%D0%9F%D0%9E%D0%9B%D0%9E%D0%96%D0%95%D0%9D%D0%98%D0%95%20%D0%BE%20%D0%B2%D0%BE%D0%B7%D0%BD%D0%B0%D0%B3%D1%80%D0%B0%D0%B6%D0%B4%D0%B5%D0%BD%D0%B8%D0%B8%20%D0%A1%D0%94.pdf" TargetMode="External" /><Relationship Id="rId37" Type="http://schemas.openxmlformats.org/officeDocument/2006/relationships/hyperlink" Target="https://www.novatek.ru/common/upload/%D0%9F%D0%BE%D0%BB%D0%BE%D0%B6%D0%B5%D0%BD%D0%B8%D0%B5_%D0%9A%D0%BE%D0%BC%D0%B8%D1%82%D0%B5%D1%82%20%D0%BF%D0%BE%20%D0%B0%D1%83%D0%B4%D0%B8%D1%82%D1%83_eng(5).pdf" TargetMode="External" /><Relationship Id="rId38" Type="http://schemas.openxmlformats.org/officeDocument/2006/relationships/hyperlink" Target="https://www.novatek.ru/common/upload/%D0%9F%D0%BE%D0%BB%D0%BE%D0%B6%D0%B5%D0%BD%D0%B8%D0%B5%20%D0%BE%20%D0%9A%D0%BE%D0%BC%D0%B8%D1%82%D0%B5%D1%82%D0%B5%20%D0%BF%D0%BE%20%D0%B2%D0%BE%D0%B7%D0%BD%20%D0%B8%20%D0%BD%D0%BE%D0%BC%D0%B8%D0%BD%D0%B0%D1%86%D0%B8%D" TargetMode="External" /><Relationship Id="rId39" Type="http://schemas.openxmlformats.org/officeDocument/2006/relationships/hyperlink" Target="https://www.novatek.ru/common/upload/%D0%9F%D0%BE%D0%BB%D0%BE%D0%B6%D0%B5%D0%BD%D0%B8%D0%B5_%D0%9A%D0%BE%D0%BC%D0%B8%D1%82%D0%B5%D1%82%20%D0%BF%D0%BE%20%D1%81%D1%82%D1%80%D0%B0%D1%82%D0%B5%D0%B3%D0%B8%D0%B8_eng(4).pdf" TargetMode="External" /><Relationship Id="rId40" Type="http://schemas.openxmlformats.org/officeDocument/2006/relationships/hyperlink" Target="https://www.novatek.ru/common/upload/doc/DivEng20.pdf" TargetMode="External" /><Relationship Id="rId41" Type="http://schemas.openxmlformats.org/officeDocument/2006/relationships/hyperlink" Target="https://www.novatek.ru/common/upload/7_1_Regulations%20on%20inform%20policy.pdf" TargetMode="External" /><Relationship Id="rId42" Type="http://schemas.openxmlformats.org/officeDocument/2006/relationships/hyperlink" Target="https://www.novatek.ru/common/upload/CorpSecE.pdf" TargetMode="External" /><Relationship Id="rId43" Type="http://schemas.openxmlformats.org/officeDocument/2006/relationships/hyperlink" Target="https://www.novatek.ru/common/upload/doc/Code_of_Corp_Governance.pdf" TargetMode="External" /><Relationship Id="rId44" Type="http://schemas.openxmlformats.org/officeDocument/2006/relationships/hyperlink" Target="https://www.novatek.ru/common/upload/doc/Politika_v_oblasti_vnutrennego_audita_PAO_Novatek_Red._2_ENG.pdf" TargetMode="External" /><Relationship Id="rId45" Type="http://schemas.openxmlformats.org/officeDocument/2006/relationships/hyperlink" Target="https://www.novatek.ru/common/upload/doc/SUR_en.pdf" TargetMode="External" /><Relationship Id="rId46" Type="http://schemas.openxmlformats.org/officeDocument/2006/relationships/hyperlink" Target="https://www.novatek.ru/common/upload/5_%D0%9F%D0%BE%D0%BB%D0%BE%D0%B6%D0%B5%D0%BD%D0%B8%D0%B5%20%D0%BE%20%D0%B2%D0%BE%D0%B7%D0%BD%D0%B0%D0%B3%D1%80%D0%B0%D0%B6%D0%B4%D0%B5%D0%BD%D0%B8%D0%B8_ENG.pdf" TargetMode="External" /><Relationship Id="rId47" Type="http://schemas.openxmlformats.org/officeDocument/2006/relationships/hyperlink" Target="https://www.novatek.ru/ru/development/targets/" TargetMode="External" /><Relationship Id="rId48" Type="http://schemas.openxmlformats.org/officeDocument/2006/relationships/hyperlink" Target="https://www.novatek.ru/en/development/targets/" TargetMode="External" /><Relationship Id="rId49" Type="http://schemas.openxmlformats.org/officeDocument/2006/relationships/hyperlink" Target="https://www.novatek.ru/ru/development/iso/" TargetMode="External" /><Relationship Id="rId50" Type="http://schemas.openxmlformats.org/officeDocument/2006/relationships/hyperlink" Target="https://www.novatek.ru/en/development/iso/" TargetMode="External" /><Relationship Id="rId51" Type="http://schemas.openxmlformats.org/officeDocument/2006/relationships/hyperlink" Target="https://www.novatek.ru/ru/development/dataesg/" TargetMode="External" /><Relationship Id="rId52" Type="http://schemas.openxmlformats.org/officeDocument/2006/relationships/hyperlink" Target="https://www.novatek.ru/en/development/dataesg/" TargetMode="External" /><Relationship Id="rId53" Type="http://schemas.openxmlformats.org/officeDocument/2006/relationships/hyperlink" Target="https://www.novatek.ru/common/upload/doc/Politika_v_oblasti_Zakupok.pdf" TargetMode="External" /><Relationship Id="rId54" Type="http://schemas.openxmlformats.org/officeDocument/2006/relationships/hyperlink" Target="https://www.novatek.ru/common/upload/doc/Politika_v_oblasti_Zakupok_ENG.pdf" TargetMode="External" /><Relationship Id="rId55" Type="http://schemas.openxmlformats.org/officeDocument/2006/relationships/hyperlink" Target="https://www.novatek.ru/common/upload/doc/80_94.pdf" TargetMode="External" /><Relationship Id="rId56" Type="http://schemas.openxmlformats.org/officeDocument/2006/relationships/hyperlink" Target="https://www.novatek.ru/common/upload/doc/Regulation_revision_comm.pdf" TargetMode="External" /><Relationship Id="rId57" Type="http://schemas.openxmlformats.org/officeDocument/2006/relationships/hyperlink" Target="https://www.novatek.ru/common/upload/doc/Polozhenie_o_poryadke_dostupa_k_insayd_inform%5b1%5d%5b1%5d.pdf" TargetMode="External" /><Relationship Id="rId58" Type="http://schemas.openxmlformats.org/officeDocument/2006/relationships/hyperlink" Target="https://www.novatek.ru/common/upload/doc/REGULATION_OF_ACCESS_TO_INSIDER_INFORMATION.pdf" TargetMode="External" /><Relationship Id="rId59" Type="http://schemas.openxmlformats.org/officeDocument/2006/relationships/hyperlink" Target="https://arcticspg.ru/ustoychivoe-razvitie/raskrytie-informatsii/Biodiversity_Implementation_Strategy.pdf" TargetMode="External" /><Relationship Id="rId60" Type="http://schemas.openxmlformats.org/officeDocument/2006/relationships/hyperlink" Target="https://arcticspg.ru/ustoychivoe-razvitie/raskrytie-informatsii/GHG%20and%20EE%20Philosophy.pdf" TargetMode="External" /><Relationship Id="rId61" Type="http://schemas.openxmlformats.org/officeDocument/2006/relationships/hyperlink" Target="https://arcticspg.ru/ustoychivoe-razvitie/raskrytie-informatsii/GHG%20and%20EE%20Management%20Plan.pdf" TargetMode="External" /><Relationship Id="rId62" Type="http://schemas.openxmlformats.org/officeDocument/2006/relationships/hyperlink" Target="http://yamallng.ru/upload/NTS%20Issue%202%20ENG%20IS%20clean%20v2.pdf" TargetMode="External" /><Relationship Id="rId63" Type="http://schemas.openxmlformats.org/officeDocument/2006/relationships/hyperlink" Target="http://yamallng.ru/upload/Annex%201.%20Scoping%20Report%20ENG%20YLNG%20Issue%204.pdf" TargetMode="External" /><Relationship Id="rId64" Type="http://schemas.openxmlformats.org/officeDocument/2006/relationships/hyperlink" Target="http://yamallng.ru/Annex%202.%20ENG%20PDF%20Environmental%20and%20Social%20Standards%20Final%20Issue%2011%20Clean.pdf" TargetMode="External" /><Relationship Id="rId65" Type="http://schemas.openxmlformats.org/officeDocument/2006/relationships/hyperlink" Target="http://yamallng.ru/upload/Annex%202.%20RUS%20PDF%20Environmental%20and%20Social%20Standards%20Issue%2011_clean%20checked%2023012015.pdf" TargetMode="External" /><Relationship Id="rId66" Type="http://schemas.openxmlformats.org/officeDocument/2006/relationships/hyperlink" Target="http://yamallng.ru/upload/ESIA%20RUS%20.pdf" TargetMode="External" /><Relationship Id="rId67" Type="http://schemas.openxmlformats.org/officeDocument/2006/relationships/hyperlink" Target="https://arcticspg.ru/ustoychivoe-razvitie/raskrytie-informatsii/SEP_ENG_21.pdf" TargetMode="External" /><Relationship Id="rId68" Type="http://schemas.openxmlformats.org/officeDocument/2006/relationships/hyperlink" Target="https://arcticspg.ru/ustoychivoe-razvitie/raskrytie-informatsii/ESHIA%20Addendum%20-%20Project%20AOI.pdf" TargetMode="External" /><Relationship Id="rId69" Type="http://schemas.openxmlformats.org/officeDocument/2006/relationships/hyperlink" Target="https://arcticspg.ru/ustoychivoe-razvitie/raskrytie-informatsii/ALNG2_NTS_ENG.pdf" TargetMode="External" /><Relationship Id="rId70" Type="http://schemas.openxmlformats.org/officeDocument/2006/relationships/hyperlink" Target="http://yamallng.ru/upload/Yamal%20LNG_SEP_December_2021_Rus.pdf" TargetMode="External" /><Relationship Id="rId71" Type="http://schemas.openxmlformats.org/officeDocument/2006/relationships/hyperlink" Target="http://yamallng.ru/upload/Yamal_LNG_SEP_December_2021_Eng.pdf" TargetMode="External" /><Relationship Id="rId72" Type="http://schemas.openxmlformats.org/officeDocument/2006/relationships/hyperlink" Target="http://yamallng.ru/upload/Annex%201%20RUS%20Scoping%20report.pdf" TargetMode="External" /><Relationship Id="rId73" Type="http://schemas.openxmlformats.org/officeDocument/2006/relationships/drawing" Target="../drawings/drawing6.xml" /><Relationship Id="rId7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theme="2"/>
  </sheetPr>
  <dimension ref="A2:F17"/>
  <sheetViews>
    <sheetView tabSelected="1" zoomScale="80" zoomScaleNormal="80" zoomScalePageLayoutView="0" workbookViewId="0" topLeftCell="A1">
      <selection activeCell="N7" sqref="N7"/>
    </sheetView>
  </sheetViews>
  <sheetFormatPr defaultColWidth="9.140625" defaultRowHeight="15"/>
  <cols>
    <col min="1" max="1" width="17.421875" style="1" customWidth="1"/>
    <col min="2" max="2" width="7.28125" style="1" customWidth="1"/>
    <col min="3" max="4" width="61.140625" style="1" customWidth="1"/>
    <col min="5" max="5" width="9.140625" style="1" customWidth="1"/>
    <col min="6" max="6" width="12.8515625" style="1" customWidth="1"/>
    <col min="7" max="16384" width="9.140625" style="1" customWidth="1"/>
  </cols>
  <sheetData>
    <row r="2" spans="1:3" ht="15">
      <c r="A2" s="120">
        <v>1</v>
      </c>
      <c r="B2" s="120">
        <v>1</v>
      </c>
      <c r="C2" s="121" t="s">
        <v>61</v>
      </c>
    </row>
    <row r="3" ht="15">
      <c r="B3" s="120" t="s">
        <v>60</v>
      </c>
    </row>
    <row r="4" ht="15">
      <c r="B4" s="120" t="s">
        <v>59</v>
      </c>
    </row>
    <row r="5" ht="181.5" customHeight="1">
      <c r="C5" s="318"/>
    </row>
    <row r="6" spans="3:6" ht="24.75" customHeight="1">
      <c r="C6" s="694" t="str">
        <f>IF(Contents!$B$2=2,"ESG DATABOOK","СПРАВОЧНИК ESG")</f>
        <v>СПРАВОЧНИК ESG</v>
      </c>
      <c r="D6" s="694"/>
      <c r="E6" s="694"/>
      <c r="F6" s="694"/>
    </row>
    <row r="7" spans="3:6" ht="39.75" customHeight="1">
      <c r="C7" s="324"/>
      <c r="D7" s="324"/>
      <c r="E7" s="324"/>
      <c r="F7" s="324"/>
    </row>
    <row r="8" spans="2:6" ht="39.75" customHeight="1">
      <c r="B8" s="325" t="s">
        <v>63</v>
      </c>
      <c r="C8" s="490" t="str">
        <f>IF(Contents!$B$2=2,"Climate, Environment","Климат и Экология")</f>
        <v>Климат и Экология</v>
      </c>
      <c r="D8" s="324"/>
      <c r="E8" s="324"/>
      <c r="F8" s="324"/>
    </row>
    <row r="9" spans="2:6" ht="39.75" customHeight="1">
      <c r="B9" s="325" t="s">
        <v>64</v>
      </c>
      <c r="C9" s="492" t="str">
        <f>IF(Contents!$B$2=2,"Social","Социальные показатели")</f>
        <v>Социальные показатели</v>
      </c>
      <c r="D9" s="324"/>
      <c r="E9" s="324"/>
      <c r="F9" s="324"/>
    </row>
    <row r="10" spans="2:6" ht="39.75" customHeight="1">
      <c r="B10" s="325" t="s">
        <v>65</v>
      </c>
      <c r="C10" s="491" t="str">
        <f>IF(Contents!$B$2=2,"Corporate Governance","Корпоративное управление")</f>
        <v>Корпоративное управление</v>
      </c>
      <c r="D10" s="324"/>
      <c r="E10" s="324"/>
      <c r="F10" s="324"/>
    </row>
    <row r="11" spans="2:6" ht="39.75" customHeight="1">
      <c r="B11" s="325" t="s">
        <v>66</v>
      </c>
      <c r="C11" s="493" t="str">
        <f>IF(Contents!$B$2=2,"Other","Прочее")</f>
        <v>Прочее</v>
      </c>
      <c r="D11" s="324"/>
      <c r="E11" s="324"/>
      <c r="F11" s="324"/>
    </row>
    <row r="12" spans="2:6" ht="39.75" customHeight="1">
      <c r="B12" s="325" t="s">
        <v>67</v>
      </c>
      <c r="C12" s="494" t="str">
        <f>IF(Contents!$B$2=2,"Corporate documents","Корпоративные документы")</f>
        <v>Корпоративные документы</v>
      </c>
      <c r="D12" s="324"/>
      <c r="E12" s="324"/>
      <c r="F12" s="324"/>
    </row>
    <row r="13" ht="39.75" customHeight="1">
      <c r="C13" s="10"/>
    </row>
    <row r="14" ht="22.5" customHeight="1">
      <c r="C14" s="10"/>
    </row>
    <row r="15" spans="3:6" ht="15">
      <c r="C15" s="2" t="str">
        <f>IF(Contents!$B$2=2,"IR NOVATEK","УПРАВЛЕНИЕ ПО СВЯЗЯМ С ИНВЕСТОРАМИ")</f>
        <v>УПРАВЛЕНИЕ ПО СВЯЗЯМ С ИНВЕСТОРАМИ</v>
      </c>
      <c r="D15" s="4"/>
      <c r="E15" s="4"/>
      <c r="F15" s="4"/>
    </row>
    <row r="16" ht="15">
      <c r="C16" s="3" t="s">
        <v>9</v>
      </c>
    </row>
    <row r="17" ht="15">
      <c r="C17" s="11" t="s">
        <v>10</v>
      </c>
    </row>
  </sheetData>
  <sheetProtection/>
  <mergeCells count="1">
    <mergeCell ref="C6:F6"/>
  </mergeCells>
  <hyperlinks>
    <hyperlink ref="C17" r:id="rId1" display="ir@novatek.ru"/>
    <hyperlink ref="C9" location="Social!Область_печати" display="Social!Область_печати"/>
    <hyperlink ref="C10" location="'Corporate governance'!A1" display="'Corporate governance'!A1"/>
    <hyperlink ref="C11" location="Other1!A1" display="Other1!A1"/>
    <hyperlink ref="C12" location="'Corporate documents'!A1" display="'Corporate documents'!A1"/>
    <hyperlink ref="C8" location="'Climate, Environment'!Область_печати" display="'Climate, Environment'!Область_печати"/>
  </hyperlink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
    <tabColor theme="9" tint="0.39998000860214233"/>
  </sheetPr>
  <dimension ref="A1:N231"/>
  <sheetViews>
    <sheetView zoomScale="80" zoomScaleNormal="80" zoomScaleSheetLayoutView="90" zoomScalePageLayoutView="0" workbookViewId="0" topLeftCell="A1">
      <pane ySplit="3" topLeftCell="A94" activePane="bottomLeft" state="frozen"/>
      <selection pane="topLeft" activeCell="A1" sqref="A1"/>
      <selection pane="bottomLeft" activeCell="M101" sqref="M101"/>
    </sheetView>
  </sheetViews>
  <sheetFormatPr defaultColWidth="9.140625" defaultRowHeight="15"/>
  <cols>
    <col min="1" max="1" width="9.140625" style="13" customWidth="1"/>
    <col min="2" max="2" width="100.00390625" style="13" customWidth="1"/>
    <col min="3" max="3" width="27.7109375" style="217" customWidth="1"/>
    <col min="4" max="4" width="16.57421875" style="133" customWidth="1"/>
    <col min="5" max="5" width="16.57421875" style="134" customWidth="1"/>
    <col min="6" max="6" width="16.57421875" style="133" customWidth="1"/>
    <col min="7" max="7" width="16.57421875" style="135" customWidth="1"/>
    <col min="8" max="8" width="16.57421875" style="133" customWidth="1"/>
    <col min="9" max="9" width="4.57421875" style="532" customWidth="1"/>
    <col min="10" max="10" width="15.7109375" style="215" customWidth="1"/>
    <col min="11" max="12" width="10.7109375" style="239" customWidth="1"/>
    <col min="13" max="13" width="78.28125" style="13" customWidth="1"/>
    <col min="14" max="16384" width="9.140625" style="13" customWidth="1"/>
  </cols>
  <sheetData>
    <row r="1" spans="2:12" ht="76.5" customHeight="1">
      <c r="B1" s="12" t="s">
        <v>11</v>
      </c>
      <c r="J1" s="195"/>
      <c r="K1" s="230"/>
      <c r="L1" s="552"/>
    </row>
    <row r="2" spans="2:12" ht="37.5" customHeight="1">
      <c r="B2" s="517" t="str">
        <f>IF(Contents!$B$2=2,"Climate, Environment","Климат и Экология")</f>
        <v>Климат и Экология</v>
      </c>
      <c r="C2" s="518"/>
      <c r="D2" s="519"/>
      <c r="E2" s="520"/>
      <c r="F2" s="521"/>
      <c r="G2" s="521"/>
      <c r="H2" s="521"/>
      <c r="I2" s="569"/>
      <c r="J2" s="549"/>
      <c r="K2" s="553"/>
      <c r="L2" s="553"/>
    </row>
    <row r="3" spans="2:13" ht="51" customHeight="1">
      <c r="B3" s="14"/>
      <c r="C3" s="218"/>
      <c r="D3" s="136" t="s">
        <v>1</v>
      </c>
      <c r="E3" s="136">
        <v>2018</v>
      </c>
      <c r="F3" s="137">
        <v>2019</v>
      </c>
      <c r="G3" s="137">
        <v>2020</v>
      </c>
      <c r="H3" s="261">
        <v>2021</v>
      </c>
      <c r="I3" s="585"/>
      <c r="J3" s="197" t="str">
        <f>IF(Contents!$B$2=2,"Standards' indices","Индексы Стандартов")</f>
        <v>Индексы Стандартов</v>
      </c>
      <c r="K3" s="197" t="str">
        <f>IF(Contents!$B$2=2,"Calculation by shares in JV's","Расчет с учетом доли в СП")</f>
        <v>Расчет с учетом доли в СП</v>
      </c>
      <c r="L3" s="550" t="str">
        <f>IF(Contents!$B$2=2,"Subject to external assurance","Внешний аудит")</f>
        <v>Внешний аудит</v>
      </c>
      <c r="M3" s="197" t="str">
        <f>IF(Contents!$B$2=2,"Notes","Примечания")</f>
        <v>Примечания</v>
      </c>
    </row>
    <row r="4" spans="3:12" s="17" customFormat="1" ht="12.75" customHeight="1">
      <c r="C4" s="219"/>
      <c r="D4" s="138"/>
      <c r="E4" s="138"/>
      <c r="F4" s="138"/>
      <c r="G4" s="139"/>
      <c r="H4" s="138"/>
      <c r="I4" s="533"/>
      <c r="J4" s="198"/>
      <c r="K4" s="232"/>
      <c r="L4" s="554"/>
    </row>
    <row r="5" spans="2:13" ht="39.75" customHeight="1">
      <c r="B5" s="20" t="str">
        <f>IF(Contents!$B$2=2,"CLIMATE","КЛИМАТ")</f>
        <v>КЛИМАТ</v>
      </c>
      <c r="C5" s="218"/>
      <c r="D5" s="140"/>
      <c r="E5" s="140"/>
      <c r="F5" s="140"/>
      <c r="G5" s="141"/>
      <c r="H5" s="260"/>
      <c r="I5" s="566"/>
      <c r="J5" s="199"/>
      <c r="K5" s="197"/>
      <c r="L5" s="550"/>
      <c r="M5" s="473"/>
    </row>
    <row r="6" spans="2:13" ht="24" customHeight="1">
      <c r="B6" s="79"/>
      <c r="C6" s="220"/>
      <c r="D6" s="142"/>
      <c r="E6" s="142"/>
      <c r="F6" s="142"/>
      <c r="G6" s="143"/>
      <c r="H6" s="282"/>
      <c r="I6" s="566"/>
      <c r="J6" s="283"/>
      <c r="K6" s="284"/>
      <c r="L6" s="567"/>
      <c r="M6" s="473"/>
    </row>
    <row r="7" spans="2:13" ht="39.75" customHeight="1">
      <c r="B7" s="242" t="str">
        <f>IF(Contents!$B$2=2,"Direct greenhouse gas emissions (Scope 1)","Прямые выбросы парниковых газов 
(Охват 1)")</f>
        <v>Прямые выбросы парниковых газов 
(Охват 1)</v>
      </c>
      <c r="C7" s="243" t="str">
        <f>IF(Contents!$B$2=2,"million t of CO2 E","млн т CO2-экв.")</f>
        <v>млн т CO2-экв.</v>
      </c>
      <c r="D7" s="244">
        <v>4.36</v>
      </c>
      <c r="E7" s="244">
        <v>6.05</v>
      </c>
      <c r="F7" s="245">
        <v>11.11</v>
      </c>
      <c r="G7" s="245">
        <v>9.06</v>
      </c>
      <c r="H7" s="246">
        <v>10.05</v>
      </c>
      <c r="I7" s="537"/>
      <c r="J7" s="247" t="s">
        <v>69</v>
      </c>
      <c r="K7" s="248" t="str">
        <f>IF(Contents!$B$2=2,"Yes","Да")</f>
        <v>Да</v>
      </c>
      <c r="L7" s="562" t="str">
        <f>IF(Contents!$B$2=2,"Yes","Да")</f>
        <v>Да</v>
      </c>
      <c r="M7" s="473"/>
    </row>
    <row r="8" spans="2:13" ht="22.5" customHeight="1">
      <c r="B8" s="129" t="str">
        <f>IF(Contents!$B$2=2,"by GHG type","по виду парниковых газов")</f>
        <v>по виду парниковых газов</v>
      </c>
      <c r="C8" s="249"/>
      <c r="D8" s="37"/>
      <c r="E8" s="37"/>
      <c r="F8" s="37"/>
      <c r="G8" s="250"/>
      <c r="H8" s="251"/>
      <c r="I8" s="586"/>
      <c r="J8" s="201"/>
      <c r="K8" s="252"/>
      <c r="L8" s="563"/>
      <c r="M8" s="473"/>
    </row>
    <row r="9" spans="2:13" ht="22.5" customHeight="1">
      <c r="B9" s="126" t="str">
        <f>IF(Contents!$B$2=2,"Carbon dioxide (CO2)","Диоксид углерода (CO2)")</f>
        <v>Диоксид углерода (CO2)</v>
      </c>
      <c r="C9" s="221" t="str">
        <f>IF(Contents!$B$2=2,"million t of CO2","млн т CO2")</f>
        <v>млн т CO2</v>
      </c>
      <c r="D9" s="145">
        <v>4.18</v>
      </c>
      <c r="E9" s="145">
        <v>5.87</v>
      </c>
      <c r="F9" s="146">
        <v>10.96</v>
      </c>
      <c r="G9" s="146">
        <v>8.84</v>
      </c>
      <c r="H9" s="147">
        <v>9.85</v>
      </c>
      <c r="I9" s="537"/>
      <c r="J9" s="202"/>
      <c r="K9" s="233" t="str">
        <f>IF(Contents!$B$2=2,"Yes","Да")</f>
        <v>Да</v>
      </c>
      <c r="L9" s="555" t="str">
        <f>IF(Contents!$B$2=2,"Yes","Да")</f>
        <v>Да</v>
      </c>
      <c r="M9" s="473"/>
    </row>
    <row r="10" spans="2:13" ht="22.5" customHeight="1">
      <c r="B10" s="126" t="str">
        <f>IF(Contents!$B$2=2,"Methane (CH4)","Метан (CH4)")</f>
        <v>Метан (CH4)</v>
      </c>
      <c r="C10" s="221" t="str">
        <f>IF(Contents!$B$2=2,"million t of CO2","млн т CO2-экв.")</f>
        <v>млн т CO2-экв.</v>
      </c>
      <c r="D10" s="145">
        <v>0.18</v>
      </c>
      <c r="E10" s="145">
        <v>0.18</v>
      </c>
      <c r="F10" s="146">
        <v>0.15</v>
      </c>
      <c r="G10" s="146">
        <v>0.22</v>
      </c>
      <c r="H10" s="147">
        <v>0.2</v>
      </c>
      <c r="I10" s="537"/>
      <c r="J10" s="202"/>
      <c r="K10" s="233" t="str">
        <f>IF(Contents!$B$2=2,"Yes","Да")</f>
        <v>Да</v>
      </c>
      <c r="L10" s="555" t="str">
        <f>IF(Contents!$B$2=2,"Yes","Да")</f>
        <v>Да</v>
      </c>
      <c r="M10" s="473"/>
    </row>
    <row r="11" spans="2:13" ht="22.5" customHeight="1">
      <c r="B11" s="128" t="str">
        <f>IF(Contents!$B$2=2,"Share of methane emissions","Доля выбросов метана")</f>
        <v>Доля выбросов метана</v>
      </c>
      <c r="C11" s="221" t="s">
        <v>0</v>
      </c>
      <c r="D11" s="403">
        <v>4</v>
      </c>
      <c r="E11" s="403">
        <v>3</v>
      </c>
      <c r="F11" s="403">
        <v>1</v>
      </c>
      <c r="G11" s="403">
        <v>2</v>
      </c>
      <c r="H11" s="404">
        <v>2</v>
      </c>
      <c r="I11" s="568"/>
      <c r="J11" s="200" t="s">
        <v>35</v>
      </c>
      <c r="K11" s="233" t="str">
        <f>IF(Contents!$B$2=2,"Yes","Да")</f>
        <v>Да</v>
      </c>
      <c r="L11" s="555" t="str">
        <f>IF(Contents!$B$2=2,"Yes","Да")</f>
        <v>Да</v>
      </c>
      <c r="M11" s="473"/>
    </row>
    <row r="12" spans="2:13" ht="22.5" customHeight="1">
      <c r="B12" s="129" t="str">
        <f>IF(Contents!$B$2=2,"by facilities","по сегментам")</f>
        <v>по сегментам</v>
      </c>
      <c r="C12" s="249"/>
      <c r="D12" s="37"/>
      <c r="E12" s="37"/>
      <c r="F12" s="37"/>
      <c r="G12" s="250"/>
      <c r="H12" s="251"/>
      <c r="I12" s="586"/>
      <c r="J12" s="201" t="s">
        <v>22</v>
      </c>
      <c r="K12" s="252"/>
      <c r="L12" s="556"/>
      <c r="M12" s="473"/>
    </row>
    <row r="13" spans="2:13" ht="22.5" customHeight="1">
      <c r="B13" s="126" t="str">
        <f>IF(Contents!$B$2=2,"Production / Upstream facilities","Предприятия добычи")</f>
        <v>Предприятия добычи</v>
      </c>
      <c r="C13" s="221" t="str">
        <f>IF(Contents!$B$2=2,"million t of CO2 E","млн т CO2-экв.")</f>
        <v>млн т CO2-экв.</v>
      </c>
      <c r="D13" s="148" t="s">
        <v>12</v>
      </c>
      <c r="E13" s="149">
        <v>4.74</v>
      </c>
      <c r="F13" s="150">
        <v>7.494</v>
      </c>
      <c r="G13" s="150">
        <v>5.518</v>
      </c>
      <c r="H13" s="147">
        <v>6.242</v>
      </c>
      <c r="I13" s="537"/>
      <c r="J13" s="202"/>
      <c r="K13" s="233" t="str">
        <f>IF(Contents!$B$2=2,"Yes","Да")</f>
        <v>Да</v>
      </c>
      <c r="L13" s="555" t="str">
        <f>IF(Contents!$B$2=2,"Yes","Да")</f>
        <v>Да</v>
      </c>
      <c r="M13" s="473"/>
    </row>
    <row r="14" spans="2:13" s="17" customFormat="1" ht="22.5" customHeight="1">
      <c r="B14" s="126" t="str">
        <f>IF(Contents!$B$2=2,"Processing / Downstream facilities","Предприятия переработки")</f>
        <v>Предприятия переработки</v>
      </c>
      <c r="C14" s="221" t="str">
        <f>IF(Contents!$B$2=2,"million t of CO2 E","млн т CO2-экв.")</f>
        <v>млн т CO2-экв.</v>
      </c>
      <c r="D14" s="148" t="s">
        <v>12</v>
      </c>
      <c r="E14" s="149">
        <v>0.67</v>
      </c>
      <c r="F14" s="150">
        <v>0.594</v>
      </c>
      <c r="G14" s="150">
        <v>0.589</v>
      </c>
      <c r="H14" s="147">
        <v>0.665</v>
      </c>
      <c r="I14" s="537"/>
      <c r="J14" s="202"/>
      <c r="K14" s="233" t="str">
        <f>IF(Contents!$B$2=2,"Yes","Да")</f>
        <v>Да</v>
      </c>
      <c r="L14" s="555" t="str">
        <f>IF(Contents!$B$2=2,"Yes","Да")</f>
        <v>Да</v>
      </c>
      <c r="M14" s="472"/>
    </row>
    <row r="15" spans="2:13" ht="22.5" customHeight="1">
      <c r="B15" s="126" t="str">
        <f>IF(Contents!$B$2=2,"LNG production facilities","Производство СПГ")</f>
        <v>Производство СПГ</v>
      </c>
      <c r="C15" s="221" t="str">
        <f>IF(Contents!$B$2=2,"million t of CO2 E","млн т CO2-экв.")</f>
        <v>млн т CO2-экв.</v>
      </c>
      <c r="D15" s="148" t="s">
        <v>12</v>
      </c>
      <c r="E15" s="149">
        <v>2.32</v>
      </c>
      <c r="F15" s="150">
        <v>2.905</v>
      </c>
      <c r="G15" s="150">
        <v>2.806</v>
      </c>
      <c r="H15" s="147">
        <v>2.977</v>
      </c>
      <c r="I15" s="537"/>
      <c r="J15" s="202"/>
      <c r="K15" s="233" t="str">
        <f>IF(Contents!$B$2=2,"Yes","Да")</f>
        <v>Да</v>
      </c>
      <c r="L15" s="555" t="str">
        <f>IF(Contents!$B$2=2,"Yes","Да")</f>
        <v>Да</v>
      </c>
      <c r="M15" s="473"/>
    </row>
    <row r="16" spans="2:13" ht="22.5" customHeight="1">
      <c r="B16" s="126" t="str">
        <f>B26</f>
        <v>Предприятия энергосервиса</v>
      </c>
      <c r="C16" s="221" t="str">
        <f>IF(Contents!$B$2=2,"million t of CO2 E","млн т CO2-экв.")</f>
        <v>млн т CO2-экв.</v>
      </c>
      <c r="D16" s="148" t="s">
        <v>12</v>
      </c>
      <c r="E16" s="148" t="s">
        <v>12</v>
      </c>
      <c r="F16" s="150">
        <v>0.122</v>
      </c>
      <c r="G16" s="150">
        <v>0.143</v>
      </c>
      <c r="H16" s="147">
        <v>0.164</v>
      </c>
      <c r="I16" s="537"/>
      <c r="J16" s="202"/>
      <c r="K16" s="233" t="str">
        <f>IF(Contents!$B$2=2,"Yes","Да")</f>
        <v>Да</v>
      </c>
      <c r="L16" s="555" t="str">
        <f>IF(Contents!$B$2=2,"Yes","Да")</f>
        <v>Да</v>
      </c>
      <c r="M16" s="473"/>
    </row>
    <row r="17" spans="2:13" s="17" customFormat="1" ht="22.5" customHeight="1">
      <c r="B17" s="129" t="str">
        <f>IF(Contents!$B$2=2,"by source","по источникам")</f>
        <v>по источникам</v>
      </c>
      <c r="C17" s="249"/>
      <c r="D17" s="37"/>
      <c r="E17" s="37"/>
      <c r="F17" s="37"/>
      <c r="G17" s="250"/>
      <c r="H17" s="251"/>
      <c r="I17" s="586"/>
      <c r="J17" s="201" t="s">
        <v>36</v>
      </c>
      <c r="K17" s="252"/>
      <c r="L17" s="556"/>
      <c r="M17" s="472"/>
    </row>
    <row r="18" spans="2:13" ht="22.5" customHeight="1">
      <c r="B18" s="127" t="str">
        <f>IF(Contents!$B$2=2,"Stationary combustion, including flaring","от стационарного сжигания, включая сжигание на факелах")</f>
        <v>от стационарного сжигания, включая сжигание на факелах</v>
      </c>
      <c r="C18" s="221" t="str">
        <f>IF(Contents!$B$2=2,"million t of CO2 E","млн т CO2-экв.")</f>
        <v>млн т CO2-экв.</v>
      </c>
      <c r="D18" s="148" t="s">
        <v>12</v>
      </c>
      <c r="E18" s="148" t="s">
        <v>12</v>
      </c>
      <c r="F18" s="150" t="s">
        <v>12</v>
      </c>
      <c r="G18" s="150">
        <v>8.855</v>
      </c>
      <c r="H18" s="147">
        <v>9.823</v>
      </c>
      <c r="I18" s="537"/>
      <c r="J18" s="203"/>
      <c r="K18" s="233" t="str">
        <f>IF(Contents!$B$2=2,"Yes","Да")</f>
        <v>Да</v>
      </c>
      <c r="L18" s="555" t="str">
        <f>IF(Contents!$B$2=2,"Yes","Да")</f>
        <v>Да</v>
      </c>
      <c r="M18" s="473"/>
    </row>
    <row r="19" spans="2:13" ht="22.5" customHeight="1">
      <c r="B19" s="127" t="str">
        <f>IF(Contents!$B$2=2,"Fugitive emissions","фугитивные выбросы")</f>
        <v>фугитивные выбросы</v>
      </c>
      <c r="C19" s="221" t="str">
        <f>IF(Contents!$B$2=2,"million t of CO2 E","млн т CO2-экв.")</f>
        <v>млн т CO2-экв.</v>
      </c>
      <c r="D19" s="148" t="s">
        <v>12</v>
      </c>
      <c r="E19" s="148" t="s">
        <v>12</v>
      </c>
      <c r="F19" s="150" t="s">
        <v>12</v>
      </c>
      <c r="G19" s="150">
        <v>0.167</v>
      </c>
      <c r="H19" s="147">
        <v>0.197</v>
      </c>
      <c r="I19" s="537"/>
      <c r="J19" s="203"/>
      <c r="K19" s="233" t="str">
        <f>IF(Contents!$B$2=2,"Yes","Да")</f>
        <v>Да</v>
      </c>
      <c r="L19" s="555" t="str">
        <f>IF(Contents!$B$2=2,"Yes","Да")</f>
        <v>Да</v>
      </c>
      <c r="M19" s="473"/>
    </row>
    <row r="20" spans="2:13" ht="22.5" customHeight="1">
      <c r="B20" s="127" t="str">
        <f>IF(Contents!$B$2=2,"Petrochemical production","нефтехимическое производство")</f>
        <v>нефтехимическое производство</v>
      </c>
      <c r="C20" s="221" t="str">
        <f>IF(Contents!$B$2=2,"million t of CO2 E","млн т CO2-экв.")</f>
        <v>млн т CO2-экв.</v>
      </c>
      <c r="D20" s="148" t="s">
        <v>12</v>
      </c>
      <c r="E20" s="148" t="s">
        <v>12</v>
      </c>
      <c r="F20" s="150" t="s">
        <v>12</v>
      </c>
      <c r="G20" s="150">
        <v>0.034</v>
      </c>
      <c r="H20" s="147">
        <v>0.028</v>
      </c>
      <c r="I20" s="537"/>
      <c r="J20" s="203"/>
      <c r="K20" s="233" t="str">
        <f>IF(Contents!$B$2=2,"Yes","Да")</f>
        <v>Да</v>
      </c>
      <c r="L20" s="555" t="str">
        <f>IF(Contents!$B$2=2,"Yes","Да")</f>
        <v>Да</v>
      </c>
      <c r="M20" s="473"/>
    </row>
    <row r="21" spans="2:13" ht="39.75" customHeight="1">
      <c r="B21" s="242" t="str">
        <f>IF(Contents!$B$2=2,"Indirect emissions (Scope 2)","Косвенные выбросы парниковых газов (Охват 2)")</f>
        <v>Косвенные выбросы парниковых газов (Охват 2)</v>
      </c>
      <c r="C21" s="243" t="str">
        <f>IF(Contents!$B$2=2,"million t of CO2 E","млн т CO2-экв.")</f>
        <v>млн т CO2-экв.</v>
      </c>
      <c r="D21" s="244">
        <v>0.19</v>
      </c>
      <c r="E21" s="244">
        <v>0.2</v>
      </c>
      <c r="F21" s="245">
        <v>0.205</v>
      </c>
      <c r="G21" s="245">
        <v>0.228</v>
      </c>
      <c r="H21" s="246">
        <v>0.27</v>
      </c>
      <c r="I21" s="537"/>
      <c r="J21" s="247" t="s">
        <v>70</v>
      </c>
      <c r="K21" s="248" t="str">
        <f>IF(Contents!$B$2=2,"Yes","Да")</f>
        <v>Да</v>
      </c>
      <c r="L21" s="562" t="str">
        <f>IF(Contents!$B$2=2,"Yes","Да")</f>
        <v>Да</v>
      </c>
      <c r="M21" s="473"/>
    </row>
    <row r="22" spans="2:13" ht="22.5" customHeight="1">
      <c r="B22" s="129" t="str">
        <f>IF(Contents!$B$2=2,"by facilities","по сегментам")</f>
        <v>по сегментам</v>
      </c>
      <c r="C22" s="249"/>
      <c r="D22" s="37"/>
      <c r="E22" s="37"/>
      <c r="F22" s="37"/>
      <c r="G22" s="250"/>
      <c r="H22" s="251"/>
      <c r="I22" s="586"/>
      <c r="J22" s="201"/>
      <c r="K22" s="252"/>
      <c r="L22" s="563"/>
      <c r="M22" s="473"/>
    </row>
    <row r="23" spans="2:13" ht="22.5" customHeight="1">
      <c r="B23" s="126" t="str">
        <f>IF(Contents!$B$2=2,"Production / Upstream facilities","Предприятия добычи")</f>
        <v>Предприятия добычи</v>
      </c>
      <c r="C23" s="221" t="str">
        <f>IF(Contents!$B$2=2,"million t of CO2","млн т СО2")</f>
        <v>млн т СО2</v>
      </c>
      <c r="D23" s="148" t="s">
        <v>12</v>
      </c>
      <c r="E23" s="148" t="s">
        <v>12</v>
      </c>
      <c r="F23" s="148" t="s">
        <v>12</v>
      </c>
      <c r="G23" s="148" t="s">
        <v>12</v>
      </c>
      <c r="H23" s="147">
        <v>0.159</v>
      </c>
      <c r="I23" s="537"/>
      <c r="J23" s="202"/>
      <c r="K23" s="233" t="str">
        <f>IF(Contents!$B$2=2,"Yes","Да")</f>
        <v>Да</v>
      </c>
      <c r="L23" s="555" t="str">
        <f>IF(Contents!$B$2=2,"Yes","Да")</f>
        <v>Да</v>
      </c>
      <c r="M23" s="473"/>
    </row>
    <row r="24" spans="2:13" ht="22.5" customHeight="1">
      <c r="B24" s="126" t="str">
        <f>IF(Contents!$B$2=2,"Processing / Downstream facilities","Предприятия переработки")</f>
        <v>Предприятия переработки</v>
      </c>
      <c r="C24" s="221" t="str">
        <f>IF(Contents!$B$2=2,"million t of CO2","млн т СО2")</f>
        <v>млн т СО2</v>
      </c>
      <c r="D24" s="148" t="s">
        <v>12</v>
      </c>
      <c r="E24" s="148" t="s">
        <v>12</v>
      </c>
      <c r="F24" s="148" t="s">
        <v>12</v>
      </c>
      <c r="G24" s="148" t="s">
        <v>12</v>
      </c>
      <c r="H24" s="147">
        <v>0.075</v>
      </c>
      <c r="I24" s="537"/>
      <c r="J24" s="202"/>
      <c r="K24" s="233" t="str">
        <f>IF(Contents!$B$2=2,"Yes","Да")</f>
        <v>Да</v>
      </c>
      <c r="L24" s="555" t="str">
        <f>IF(Contents!$B$2=2,"Yes","Да")</f>
        <v>Да</v>
      </c>
      <c r="M24" s="473"/>
    </row>
    <row r="25" spans="2:13" ht="22.5" customHeight="1">
      <c r="B25" s="126" t="str">
        <f>IF(Contents!$B$2=2,"LNG production facilities","Производство СПГ")</f>
        <v>Производство СПГ</v>
      </c>
      <c r="C25" s="221" t="str">
        <f>IF(Contents!$B$2=2,"million t of CO2","млн т СО2")</f>
        <v>млн т СО2</v>
      </c>
      <c r="D25" s="148" t="s">
        <v>12</v>
      </c>
      <c r="E25" s="148" t="s">
        <v>12</v>
      </c>
      <c r="F25" s="148" t="s">
        <v>12</v>
      </c>
      <c r="G25" s="148" t="s">
        <v>12</v>
      </c>
      <c r="H25" s="147">
        <v>0.0027</v>
      </c>
      <c r="I25" s="537"/>
      <c r="J25" s="202"/>
      <c r="K25" s="233" t="str">
        <f>IF(Contents!$B$2=2,"Yes","Да")</f>
        <v>Да</v>
      </c>
      <c r="L25" s="555" t="str">
        <f>IF(Contents!$B$2=2,"Yes","Да")</f>
        <v>Да</v>
      </c>
      <c r="M25" s="473"/>
    </row>
    <row r="26" spans="2:13" ht="22.5" customHeight="1">
      <c r="B26" s="126" t="str">
        <f>IF(Contents!$B$2=2,"Energy service facilities","Предприятия энергосервиса")</f>
        <v>Предприятия энергосервиса</v>
      </c>
      <c r="C26" s="221" t="str">
        <f>IF(Contents!$B$2=2,"million t of CO2","млн т СО2")</f>
        <v>млн т СО2</v>
      </c>
      <c r="D26" s="148" t="s">
        <v>12</v>
      </c>
      <c r="E26" s="148" t="s">
        <v>12</v>
      </c>
      <c r="F26" s="148" t="s">
        <v>12</v>
      </c>
      <c r="G26" s="148" t="s">
        <v>12</v>
      </c>
      <c r="H26" s="147">
        <v>0.0328</v>
      </c>
      <c r="I26" s="537"/>
      <c r="J26" s="202"/>
      <c r="K26" s="233" t="str">
        <f>IF(Contents!$B$2=2,"Yes","Да")</f>
        <v>Да</v>
      </c>
      <c r="L26" s="555" t="str">
        <f>IF(Contents!$B$2=2,"Yes","Да")</f>
        <v>Да</v>
      </c>
      <c r="M26" s="473"/>
    </row>
    <row r="27" spans="2:13" ht="39.75" customHeight="1">
      <c r="B27" s="253" t="str">
        <f>IF(Contents!$B$2=2,"Indirect emissions (Scope 3)","Косвенные выбросы парниковых газов (Охват 3)")</f>
        <v>Косвенные выбросы парниковых газов (Охват 3)</v>
      </c>
      <c r="C27" s="243" t="str">
        <f>IF(Contents!$B$2=2,"million t of CO2","млн т СО2")</f>
        <v>млн т СО2</v>
      </c>
      <c r="D27" s="254" t="s">
        <v>12</v>
      </c>
      <c r="E27" s="254" t="s">
        <v>12</v>
      </c>
      <c r="F27" s="254" t="s">
        <v>12</v>
      </c>
      <c r="G27" s="244">
        <v>173.251</v>
      </c>
      <c r="H27" s="244">
        <v>177.815</v>
      </c>
      <c r="I27" s="534"/>
      <c r="J27" s="247" t="s">
        <v>71</v>
      </c>
      <c r="K27" s="248" t="str">
        <f>IF(Contents!$B$2=2,"Yes","Да")</f>
        <v>Да</v>
      </c>
      <c r="L27" s="562" t="str">
        <f>IF(Contents!$B$2=2,"Yes","Да")</f>
        <v>Да</v>
      </c>
      <c r="M27" s="474" t="str">
        <f>IF(Contents!$B$2=2,"Indirect emissions (Scope 3) for category 11 “Use of sold products” according to GHG Protocol (Corporate Value Chain (Scope 3) Accounting and Reporting Standard).","Косвенные выбросы ПГ (Охват 3) по категории 11 «Использование реализованной продукции» в соответствии с классификацией GHG Protocol (Corporate Value Chain (Scope 3) Accounting and Reporting Standard).")</f>
        <v>Косвенные выбросы ПГ (Охват 3) по категории 11 «Использование реализованной продукции» в соответствии с классификацией GHG Protocol (Corporate Value Chain (Scope 3) Accounting and Reporting Standard).</v>
      </c>
    </row>
    <row r="28" spans="2:13" ht="21.75" customHeight="1">
      <c r="B28" s="68"/>
      <c r="C28" s="221"/>
      <c r="D28" s="288"/>
      <c r="E28" s="288"/>
      <c r="F28" s="288"/>
      <c r="G28" s="148"/>
      <c r="H28" s="148"/>
      <c r="I28" s="536"/>
      <c r="J28" s="200"/>
      <c r="K28" s="233"/>
      <c r="L28" s="555"/>
      <c r="M28" s="464"/>
    </row>
    <row r="29" spans="2:13" ht="39" customHeight="1">
      <c r="B29" s="253" t="str">
        <f>IF(Contents!$B$2=2,"Specific GHG emissions (Scope 1)","Удельные выбросы парниковых газов (Охват 1)")</f>
        <v>Удельные выбросы парниковых газов (Охват 1)</v>
      </c>
      <c r="C29" s="264"/>
      <c r="D29" s="244"/>
      <c r="E29" s="265"/>
      <c r="F29" s="266"/>
      <c r="G29" s="267"/>
      <c r="H29" s="267"/>
      <c r="I29" s="587"/>
      <c r="J29" s="247" t="s">
        <v>34</v>
      </c>
      <c r="K29" s="248"/>
      <c r="L29" s="562"/>
      <c r="M29" s="473"/>
    </row>
    <row r="30" spans="2:13" ht="22.5" customHeight="1">
      <c r="B30" s="123" t="str">
        <f>IF(Contents!$B$2=2,"Production / Upstream facilities","Предприятия добычи")</f>
        <v>Предприятия добычи</v>
      </c>
      <c r="C30" s="223" t="str">
        <f>IF(Contents!$B$2=2,"t of CO2 E per thousand boe","т CO2-экв. на тысячу бнэ")</f>
        <v>т CO2-экв. на тысячу бнэ</v>
      </c>
      <c r="D30" s="148" t="s">
        <v>12</v>
      </c>
      <c r="E30" s="149">
        <v>8.76</v>
      </c>
      <c r="F30" s="149">
        <v>12.58</v>
      </c>
      <c r="G30" s="152">
        <v>8.65</v>
      </c>
      <c r="H30" s="153">
        <v>9.76</v>
      </c>
      <c r="I30" s="538"/>
      <c r="J30" s="204"/>
      <c r="K30" s="233" t="str">
        <f>IF(Contents!$B$2=2,"Yes","Да")</f>
        <v>Да</v>
      </c>
      <c r="L30" s="555" t="str">
        <f>IF(Contents!$B$2=2,"Yes","Да")</f>
        <v>Да</v>
      </c>
      <c r="M30" s="473"/>
    </row>
    <row r="31" spans="2:13" ht="22.5" customHeight="1">
      <c r="B31" s="123" t="str">
        <f>IF(Contents!$B$2=2,"Processing / Downstream facilities","Предприятия переработки")</f>
        <v>Предприятия переработки</v>
      </c>
      <c r="C31" s="223" t="str">
        <f>IF(Contents!$B$2=2,"t of CO2 E per t of processed hydrocarbon feedstock","т CO2-экв. на тонну переработанного углеводородного сырья ")</f>
        <v>т CO2-экв. на тонну переработанного углеводородного сырья </v>
      </c>
      <c r="D31" s="148" t="s">
        <v>12</v>
      </c>
      <c r="E31" s="154">
        <v>0.037</v>
      </c>
      <c r="F31" s="154">
        <v>0.034</v>
      </c>
      <c r="G31" s="152">
        <v>0.031</v>
      </c>
      <c r="H31" s="153">
        <v>0.034</v>
      </c>
      <c r="I31" s="538"/>
      <c r="J31" s="204"/>
      <c r="K31" s="233" t="str">
        <f>IF(Contents!$B$2=2,"Yes","Да")</f>
        <v>Да</v>
      </c>
      <c r="L31" s="555" t="str">
        <f>IF(Contents!$B$2=2,"Yes","Да")</f>
        <v>Да</v>
      </c>
      <c r="M31" s="473"/>
    </row>
    <row r="32" spans="2:13" ht="22.5" customHeight="1">
      <c r="B32" s="124" t="str">
        <f>IF(Contents!$B$2=2,"LNG production facilities","Производство СПГ")</f>
        <v>Производство СПГ</v>
      </c>
      <c r="C32" s="223" t="str">
        <f>IF(Contents!$B$2=2,"t of CO2 E per t of LNG","т CO2-экв. на тонну СПГ ")</f>
        <v>т CO2-экв. на тонну СПГ </v>
      </c>
      <c r="D32" s="148" t="s">
        <v>12</v>
      </c>
      <c r="E32" s="149">
        <v>0.27</v>
      </c>
      <c r="F32" s="149">
        <v>0.26</v>
      </c>
      <c r="G32" s="152">
        <v>0.24</v>
      </c>
      <c r="H32" s="153">
        <v>0.24</v>
      </c>
      <c r="I32" s="538"/>
      <c r="J32" s="204"/>
      <c r="K32" s="233" t="str">
        <f>IF(Contents!$B$2=2,"Yes","Да")</f>
        <v>Да</v>
      </c>
      <c r="L32" s="555" t="str">
        <f>IF(Contents!$B$2=2,"Yes","Да")</f>
        <v>Да</v>
      </c>
      <c r="M32" s="473"/>
    </row>
    <row r="33" spans="2:13" ht="39.75" customHeight="1">
      <c r="B33" s="253" t="str">
        <f>IF(Contents!$B$2=2,"GHG emissions intensity indicators","Интенсивность выбросов парниковых газов")</f>
        <v>Интенсивность выбросов парниковых газов</v>
      </c>
      <c r="C33" s="264"/>
      <c r="D33" s="244"/>
      <c r="E33" s="265"/>
      <c r="F33" s="266"/>
      <c r="G33" s="267"/>
      <c r="H33" s="267"/>
      <c r="I33" s="587"/>
      <c r="J33" s="247"/>
      <c r="K33" s="248"/>
      <c r="L33" s="562"/>
      <c r="M33" s="473"/>
    </row>
    <row r="34" spans="2:13" ht="22.5" customHeight="1">
      <c r="B34" s="124" t="str">
        <f>IF(Contents!$B$2=2,"GHG emissions intensity per hydrocarbon production (Scope 1)","Выбросы ПГ (Охват 1) на добычу углеводородов")</f>
        <v>Выбросы ПГ (Охват 1) на добычу углеводородов</v>
      </c>
      <c r="C34" s="223" t="str">
        <f>IF(Contents!$B$2=2,"kg of CO2 E per thousand boe","кг CO2-экв. на тысячу бнэ")</f>
        <v>кг CO2-экв. на тысячу бнэ</v>
      </c>
      <c r="D34" s="148">
        <v>8494.06</v>
      </c>
      <c r="E34" s="148">
        <v>11018</v>
      </c>
      <c r="F34" s="148">
        <v>18833.7</v>
      </c>
      <c r="G34" s="148">
        <v>14896.4</v>
      </c>
      <c r="H34" s="156">
        <v>16046.6</v>
      </c>
      <c r="I34" s="588"/>
      <c r="J34" s="204"/>
      <c r="K34" s="233" t="str">
        <f>IF(Contents!$B$2=2,"Yes","Да")</f>
        <v>Да</v>
      </c>
      <c r="L34" s="555" t="str">
        <f>IF(Contents!$B$2=2,"No","Нет")</f>
        <v>Нет</v>
      </c>
      <c r="M34" s="473"/>
    </row>
    <row r="35" spans="2:13" ht="22.5" customHeight="1">
      <c r="B35" s="124" t="str">
        <f>IF(Contents!$B$2=2,"GHG emissions intensity per hydrocarbon production (Scope 2)","Выбросы ПГ (Охват 2) на добычу углеводородов")</f>
        <v>Выбросы ПГ (Охват 2) на добычу углеводородов</v>
      </c>
      <c r="C35" s="223" t="str">
        <f>IF(Contents!$B$2=2,"kg of CO2 E per thousand boe","кг CO2-экв. на тысячу бнэ")</f>
        <v>кг CO2-экв. на тысячу бнэ</v>
      </c>
      <c r="D35" s="148">
        <v>370</v>
      </c>
      <c r="E35" s="148">
        <v>364</v>
      </c>
      <c r="F35" s="148">
        <v>348</v>
      </c>
      <c r="G35" s="148">
        <v>375</v>
      </c>
      <c r="H35" s="156">
        <v>431</v>
      </c>
      <c r="I35" s="588"/>
      <c r="J35" s="204"/>
      <c r="K35" s="233" t="str">
        <f>IF(Contents!$B$2=2,"Yes","Да")</f>
        <v>Да</v>
      </c>
      <c r="L35" s="555" t="str">
        <f>IF(Contents!$B$2=2,"No","Нет")</f>
        <v>Нет</v>
      </c>
      <c r="M35" s="473"/>
    </row>
    <row r="36" spans="2:13" ht="22.5" customHeight="1">
      <c r="B36" s="124" t="str">
        <f>IF(Contents!$B$2=2,"Carbon intensity per total revenue in RUB (Scope 1)","Выбросы ПГ (Охват 1) на выручку в рублях")</f>
        <v>Выбросы ПГ (Охват 1) на выручку в рублях</v>
      </c>
      <c r="C36" s="223" t="str">
        <f>IF(Contents!$B$2=2,"metric tons CO2 E per RUB million sales","метрических тонн CO2-экв. на млн руб. продаж ")</f>
        <v>метрических тонн CO2-экв. на млн руб. продаж </v>
      </c>
      <c r="D36" s="157">
        <v>7.5</v>
      </c>
      <c r="E36" s="157">
        <v>7.3</v>
      </c>
      <c r="F36" s="157">
        <v>12.9</v>
      </c>
      <c r="G36" s="157">
        <v>12.7</v>
      </c>
      <c r="H36" s="158">
        <v>8.7</v>
      </c>
      <c r="I36" s="543"/>
      <c r="J36" s="204"/>
      <c r="K36" s="233" t="str">
        <f>IF(Contents!$B$2=2,"Yes","Да")</f>
        <v>Да</v>
      </c>
      <c r="L36" s="555" t="str">
        <f>IF(Contents!$B$2=2,"No","Нет")</f>
        <v>Нет</v>
      </c>
      <c r="M36" s="473"/>
    </row>
    <row r="37" spans="2:13" ht="22.5" customHeight="1">
      <c r="B37" s="124" t="str">
        <f>IF(Contents!$B$2=2,"Carbon intensity per total revenue in USD (Scope 1)","Выбросы ПГ  (Охват 1) на выручку в долларах США")</f>
        <v>Выбросы ПГ  (Охват 1) на выручку в долларах США</v>
      </c>
      <c r="C37" s="223" t="str">
        <f>IF(Contents!$B$2=2,"metric tons CO2 E per USD million sales","метрических тонн CO2-экв. на млн долл. продаж")</f>
        <v>метрических тонн CO2-экв. на млн долл. продаж</v>
      </c>
      <c r="D37" s="148">
        <v>436</v>
      </c>
      <c r="E37" s="148">
        <v>456.1</v>
      </c>
      <c r="F37" s="148">
        <v>833.6</v>
      </c>
      <c r="G37" s="148">
        <v>918.3</v>
      </c>
      <c r="H37" s="156">
        <v>640</v>
      </c>
      <c r="I37" s="588"/>
      <c r="J37" s="204"/>
      <c r="K37" s="233" t="str">
        <f>IF(Contents!$B$2=2,"Yes","Да")</f>
        <v>Да</v>
      </c>
      <c r="L37" s="555" t="str">
        <f>IF(Contents!$B$2=2,"No","Нет")</f>
        <v>Нет</v>
      </c>
      <c r="M37" s="473"/>
    </row>
    <row r="38" spans="2:13" ht="22.5" customHeight="1">
      <c r="B38" s="124" t="str">
        <f>IF(Contents!$B$2=2,"Carbon intensity per total revenue in RUB (Scope 1+2)","Выбросы ПГ (Охват 1+2) на выручку в рублях")</f>
        <v>Выбросы ПГ (Охват 1+2) на выручку в рублях</v>
      </c>
      <c r="C38" s="223" t="str">
        <f>IF(Contents!$B$2=2,"metric tons CO2 E per RUB million sales","метрических тонн CO2-экв. на млн руб. продаж ")</f>
        <v>метрических тонн CO2-экв. на млн руб. продаж </v>
      </c>
      <c r="D38" s="157">
        <v>7.8</v>
      </c>
      <c r="E38" s="157">
        <v>7.5</v>
      </c>
      <c r="F38" s="157">
        <v>13.1</v>
      </c>
      <c r="G38" s="157">
        <v>13</v>
      </c>
      <c r="H38" s="158">
        <v>8.9</v>
      </c>
      <c r="I38" s="543"/>
      <c r="J38" s="204"/>
      <c r="K38" s="233" t="str">
        <f>IF(Contents!$B$2=2,"Yes","Да")</f>
        <v>Да</v>
      </c>
      <c r="L38" s="555" t="str">
        <f>IF(Contents!$B$2=2,"No","Нет")</f>
        <v>Нет</v>
      </c>
      <c r="M38" s="473"/>
    </row>
    <row r="39" spans="2:13" ht="22.5" customHeight="1">
      <c r="B39" s="124" t="str">
        <f>IF(Contents!$B$2=2,"Carbon intensity per total revenue in USD (Scope 1+2)","Выбросы ПГ (Охват 1+2) на выручку в долларах США ")</f>
        <v>Выбросы ПГ (Охват 1+2) на выручку в долларах США </v>
      </c>
      <c r="C39" s="223" t="str">
        <f>IF(Contents!$B$2=2,"metric tons CO2 E per USD million sales","метрических тонн CO2-экв. на млн долл. продаж")</f>
        <v>метрических тонн CO2-экв. на млн долл. продаж</v>
      </c>
      <c r="D39" s="148">
        <v>455.3</v>
      </c>
      <c r="E39" s="148">
        <v>471.2</v>
      </c>
      <c r="F39" s="148">
        <v>849</v>
      </c>
      <c r="G39" s="148">
        <v>941.4</v>
      </c>
      <c r="H39" s="156">
        <v>657</v>
      </c>
      <c r="I39" s="588"/>
      <c r="J39" s="204"/>
      <c r="K39" s="233" t="str">
        <f>IF(Contents!$B$2=2,"Yes","Да")</f>
        <v>Да</v>
      </c>
      <c r="L39" s="555" t="str">
        <f>IF(Contents!$B$2=2,"No","Нет")</f>
        <v>Нет</v>
      </c>
      <c r="M39" s="473"/>
    </row>
    <row r="40" spans="2:13" ht="22.5" customHeight="1">
      <c r="B40" s="124" t="str">
        <f>IF(Contents!$B$2=2,"GHG Intensity ratio (Scope 3)","GHG Intensity (Выбросы ПГ (Охват 3) на добычу)")</f>
        <v>GHG Intensity (Выбросы ПГ (Охват 3) на добычу)</v>
      </c>
      <c r="C40" s="223" t="str">
        <f>IF(Contents!$B$2=2,"kg of CO2 E per boe","кг CO2-экв. на бнэ")</f>
        <v>кг CO2-экв. на бнэ</v>
      </c>
      <c r="D40" s="148" t="s">
        <v>12</v>
      </c>
      <c r="E40" s="148">
        <v>298</v>
      </c>
      <c r="F40" s="148">
        <v>298</v>
      </c>
      <c r="G40" s="148">
        <v>295</v>
      </c>
      <c r="H40" s="156">
        <v>294</v>
      </c>
      <c r="I40" s="588"/>
      <c r="J40" s="200" t="s">
        <v>34</v>
      </c>
      <c r="K40" s="233" t="str">
        <f>IF(Contents!$B$2=2,"Yes","Да")</f>
        <v>Да</v>
      </c>
      <c r="L40" s="555" t="str">
        <f>IF(Contents!$B$2=2,"Yes","Да")</f>
        <v>Да</v>
      </c>
      <c r="M40" s="240" t="str">
        <f>IF(Contents!$B$2=2,"GHG Intensity ratio is calculated as total GHG combustion emissions from total hydrocarbon production (Scope 3) per hydrocarbon production volumes, including the Company's share in JVs.","GHG Intensity рассчитывается путем деления всех выбросов парниковых газов, образующихся от сжигания всего производимого углеводородного сырья (область Охвата 3), на объем добычи углеводородов с учетом доли в совместных предприятиях.")</f>
        <v>GHG Intensity рассчитывается путем деления всех выбросов парниковых газов, образующихся от сжигания всего производимого углеводородного сырья (область Охвата 3), на объем добычи углеводородов с учетом доли в совместных предприятиях.</v>
      </c>
    </row>
    <row r="41" spans="2:13" ht="39.75" customHeight="1">
      <c r="B41" s="253" t="str">
        <f>IF(Contents!$B$2=2,"Energy consumption and efficiency","Потребление энергии и энергоэффективность")</f>
        <v>Потребление энергии и энергоэффективность</v>
      </c>
      <c r="C41" s="264"/>
      <c r="D41" s="244"/>
      <c r="E41" s="265"/>
      <c r="F41" s="266"/>
      <c r="G41" s="267"/>
      <c r="H41" s="267"/>
      <c r="I41" s="587"/>
      <c r="J41" s="247"/>
      <c r="K41" s="248"/>
      <c r="L41" s="562"/>
      <c r="M41" s="473"/>
    </row>
    <row r="42" spans="2:13" ht="22.5" customHeight="1">
      <c r="B42" s="285" t="str">
        <f>IF(Contents!$B$2=2,"Energy consumption by NOVATEK's production subsidiaries and JV's","Потребление энергии")</f>
        <v>Потребление энергии</v>
      </c>
      <c r="C42" s="222"/>
      <c r="D42" s="164"/>
      <c r="E42" s="164"/>
      <c r="F42" s="164"/>
      <c r="G42" s="178"/>
      <c r="H42" s="179"/>
      <c r="I42" s="589"/>
      <c r="J42" s="201" t="s">
        <v>23</v>
      </c>
      <c r="K42" s="236"/>
      <c r="L42" s="557"/>
      <c r="M42" s="473"/>
    </row>
    <row r="43" spans="2:13" ht="22.5" customHeight="1">
      <c r="B43" s="26" t="str">
        <f>IF(Contents!$B$2=2,"Total consumption of heat and electricity, including","Суммарное потребление тепловой и электрической энергии, в т.ч.")</f>
        <v>Суммарное потребление тепловой и электрической энергии, в т.ч.</v>
      </c>
      <c r="C43" s="221" t="str">
        <f>IF(Contents!$B$2=2,"thousand GJ","тыс. ГДж")</f>
        <v>тыс. ГДж</v>
      </c>
      <c r="D43" s="170">
        <v>4215</v>
      </c>
      <c r="E43" s="170">
        <v>10377</v>
      </c>
      <c r="F43" s="170">
        <v>12904</v>
      </c>
      <c r="G43" s="161">
        <v>13482</v>
      </c>
      <c r="H43" s="171">
        <v>15473</v>
      </c>
      <c r="I43" s="541"/>
      <c r="J43" s="204"/>
      <c r="K43" s="233" t="str">
        <f>IF(Contents!$B$2=2,"No","Нет")</f>
        <v>Нет</v>
      </c>
      <c r="L43" s="555" t="str">
        <f>IF(Contents!$B$2=2,"Yes","Да")</f>
        <v>Да</v>
      </c>
      <c r="M43" s="473"/>
    </row>
    <row r="44" spans="2:13" ht="22.5" customHeight="1">
      <c r="B44" s="123" t="str">
        <f>IF(Contents!$B$2=2,"Electricity","Электроэнергии")</f>
        <v>Электроэнергии</v>
      </c>
      <c r="C44" s="221" t="str">
        <f>IF(Contents!$B$2=2,"thousand GJ","тыс. ГДж")</f>
        <v>тыс. ГДж</v>
      </c>
      <c r="D44" s="170" t="s">
        <v>12</v>
      </c>
      <c r="E44" s="170" t="s">
        <v>12</v>
      </c>
      <c r="F44" s="161">
        <v>9653</v>
      </c>
      <c r="G44" s="161">
        <v>10538</v>
      </c>
      <c r="H44" s="171">
        <v>11961</v>
      </c>
      <c r="I44" s="541"/>
      <c r="J44" s="204"/>
      <c r="K44" s="233" t="str">
        <f>IF(Contents!$B$2=2,"No","Нет")</f>
        <v>Нет</v>
      </c>
      <c r="L44" s="555" t="str">
        <f>IF(Contents!$B$2=2,"Yes","Да")</f>
        <v>Да</v>
      </c>
      <c r="M44" s="473"/>
    </row>
    <row r="45" spans="2:13" ht="22.5" customHeight="1">
      <c r="B45" s="290" t="str">
        <f>IF(Contents!$B$2=2,"Purchased electricity","Закупленная электроэнергия")</f>
        <v>Закупленная электроэнергия</v>
      </c>
      <c r="C45" s="221" t="str">
        <f>IF(Contents!$B$2=2,"thousand GJ","тыс. ГДж")</f>
        <v>тыс. ГДж</v>
      </c>
      <c r="D45" s="170" t="s">
        <v>12</v>
      </c>
      <c r="E45" s="170" t="s">
        <v>12</v>
      </c>
      <c r="F45" s="170">
        <v>1440</v>
      </c>
      <c r="G45" s="161">
        <v>1793</v>
      </c>
      <c r="H45" s="171">
        <v>2325</v>
      </c>
      <c r="I45" s="541"/>
      <c r="J45" s="204"/>
      <c r="K45" s="233" t="str">
        <f>IF(Contents!$B$2=2,"No","Нет")</f>
        <v>Нет</v>
      </c>
      <c r="L45" s="555" t="str">
        <f>IF(Contents!$B$2=2,"Yes","Да")</f>
        <v>Да</v>
      </c>
      <c r="M45" s="473"/>
    </row>
    <row r="46" spans="2:13" ht="22.5" customHeight="1">
      <c r="B46" s="290" t="str">
        <f>IF(Contents!$B$2=2,"Electricity generation from non-renewable energy sources, including","Обеспечивающая генерация электроэнергии, в т.ч.")</f>
        <v>Обеспечивающая генерация электроэнергии, в т.ч.</v>
      </c>
      <c r="C46" s="221" t="str">
        <f>IF(Contents!$B$2=2,"thousand GJ","тыс. ГДж")</f>
        <v>тыс. ГДж</v>
      </c>
      <c r="D46" s="170" t="s">
        <v>12</v>
      </c>
      <c r="E46" s="170" t="s">
        <v>12</v>
      </c>
      <c r="F46" s="170">
        <v>8280</v>
      </c>
      <c r="G46" s="161">
        <v>8837</v>
      </c>
      <c r="H46" s="171">
        <v>9734</v>
      </c>
      <c r="I46" s="541"/>
      <c r="J46" s="204"/>
      <c r="K46" s="233" t="str">
        <f>IF(Contents!$B$2=2,"No","Нет")</f>
        <v>Нет</v>
      </c>
      <c r="L46" s="555" t="str">
        <f>IF(Contents!$B$2=2,"Yes","Да")</f>
        <v>Да</v>
      </c>
      <c r="M46" s="473"/>
    </row>
    <row r="47" spans="2:13" ht="22.5" customHeight="1">
      <c r="B47" s="291" t="str">
        <f>IF(Contents!$B$2=2,"Electricity generation from non-renewable energy sources","из ВИЭ")</f>
        <v>из ВИЭ</v>
      </c>
      <c r="C47" s="221" t="str">
        <f>IF(Contents!$B$2=2,"thousand GJ","тыс. ГДж")</f>
        <v>тыс. ГДж</v>
      </c>
      <c r="D47" s="170" t="s">
        <v>12</v>
      </c>
      <c r="E47" s="170" t="s">
        <v>12</v>
      </c>
      <c r="F47" s="170">
        <v>1</v>
      </c>
      <c r="G47" s="269">
        <v>1</v>
      </c>
      <c r="H47" s="162">
        <v>1</v>
      </c>
      <c r="I47" s="564"/>
      <c r="J47" s="204"/>
      <c r="K47" s="233" t="str">
        <f>IF(Contents!$B$2=2,"No","Нет")</f>
        <v>Нет</v>
      </c>
      <c r="L47" s="555" t="str">
        <f>IF(Contents!$B$2=2,"Yes","Да")</f>
        <v>Да</v>
      </c>
      <c r="M47" s="473"/>
    </row>
    <row r="48" spans="2:13" ht="22.5" customHeight="1">
      <c r="B48" s="290" t="str">
        <f>IF(Contents!$B$2=2,"Sale of electiricity","Продажа электроэнергии")</f>
        <v>Продажа электроэнергии</v>
      </c>
      <c r="C48" s="221" t="str">
        <f>IF(Contents!$B$2=2,"thousand GJ","тыс. ГДж")</f>
        <v>тыс. ГДж</v>
      </c>
      <c r="D48" s="170" t="s">
        <v>12</v>
      </c>
      <c r="E48" s="170" t="s">
        <v>12</v>
      </c>
      <c r="F48" s="170">
        <v>67</v>
      </c>
      <c r="G48" s="161">
        <v>92</v>
      </c>
      <c r="H48" s="171">
        <v>98</v>
      </c>
      <c r="I48" s="541"/>
      <c r="K48" s="233" t="str">
        <f>IF(Contents!$B$2=2,"No","Нет")</f>
        <v>Нет</v>
      </c>
      <c r="L48" s="555" t="str">
        <f>IF(Contents!$B$2=2,"Yes","Да")</f>
        <v>Да</v>
      </c>
      <c r="M48" s="473"/>
    </row>
    <row r="49" spans="2:13" ht="22.5" customHeight="1">
      <c r="B49" s="123" t="str">
        <f>IF(Contents!$B$2=2,"Heat","Тепловой энергии")</f>
        <v>Тепловой энергии</v>
      </c>
      <c r="C49" s="221" t="str">
        <f>IF(Contents!$B$2=2,"thousand GJ","тыс. ГДж")</f>
        <v>тыс. ГДж</v>
      </c>
      <c r="D49" s="170" t="s">
        <v>12</v>
      </c>
      <c r="E49" s="170" t="s">
        <v>12</v>
      </c>
      <c r="F49" s="170">
        <v>3253</v>
      </c>
      <c r="G49" s="161">
        <v>2944</v>
      </c>
      <c r="H49" s="171">
        <v>3513</v>
      </c>
      <c r="I49" s="541"/>
      <c r="J49" s="204" t="s">
        <v>23</v>
      </c>
      <c r="K49" s="233" t="str">
        <f>IF(Contents!$B$2=2,"No","Нет")</f>
        <v>Нет</v>
      </c>
      <c r="L49" s="555" t="str">
        <f>IF(Contents!$B$2=2,"Yes","Да")</f>
        <v>Да</v>
      </c>
      <c r="M49" s="473"/>
    </row>
    <row r="50" spans="2:13" ht="22.5" customHeight="1">
      <c r="B50" s="290" t="str">
        <f>IF(Contents!$B$2=2,"Heat generation from non-renewable energy sources","Обеспечивающая генерация (производство) тепловой энергии из невозобновляемых источников энергии")</f>
        <v>Обеспечивающая генерация (производство) тепловой энергии из невозобновляемых источников энергии</v>
      </c>
      <c r="C50" s="221" t="str">
        <f>IF(Contents!$B$2=2,"thousand GJ","тыс. ГДж")</f>
        <v>тыс. ГДж</v>
      </c>
      <c r="D50" s="170" t="s">
        <v>12</v>
      </c>
      <c r="E50" s="170" t="s">
        <v>12</v>
      </c>
      <c r="F50" s="170" t="s">
        <v>57</v>
      </c>
      <c r="G50" s="161" t="s">
        <v>58</v>
      </c>
      <c r="H50" s="171">
        <v>1104</v>
      </c>
      <c r="I50" s="541"/>
      <c r="J50" s="204"/>
      <c r="K50" s="233" t="str">
        <f>IF(Contents!$B$2=2,"No","Нет")</f>
        <v>Нет</v>
      </c>
      <c r="L50" s="555" t="str">
        <f>IF(Contents!$B$2=2,"Yes","Да")</f>
        <v>Да</v>
      </c>
      <c r="M50" s="473"/>
    </row>
    <row r="51" spans="2:13" ht="22.5" customHeight="1">
      <c r="B51" s="290" t="str">
        <f>IF(Contents!$B$2=2,"Heat generation from secondary energy sources","Обеспечивающая генерация (производство) тепловой энергии из вторичных энергоресурсов (ВЭР)")</f>
        <v>Обеспечивающая генерация (производство) тепловой энергии из вторичных энергоресурсов (ВЭР)</v>
      </c>
      <c r="C51" s="221" t="str">
        <f>IF(Contents!$B$2=2,"thousand GJ","тыс. ГДж")</f>
        <v>тыс. ГДж</v>
      </c>
      <c r="D51" s="170" t="s">
        <v>12</v>
      </c>
      <c r="E51" s="170" t="s">
        <v>12</v>
      </c>
      <c r="F51" s="170">
        <v>2277</v>
      </c>
      <c r="G51" s="161">
        <v>2012</v>
      </c>
      <c r="H51" s="171">
        <v>2409</v>
      </c>
      <c r="I51" s="541"/>
      <c r="J51" s="204"/>
      <c r="K51" s="233" t="str">
        <f>IF(Contents!$B$2=2,"No","Нет")</f>
        <v>Нет</v>
      </c>
      <c r="L51" s="555" t="str">
        <f>IF(Contents!$B$2=2,"Yes","Да")</f>
        <v>Да</v>
      </c>
      <c r="M51" s="473"/>
    </row>
    <row r="52" spans="2:13" ht="22.5" customHeight="1">
      <c r="B52" s="129" t="str">
        <f>IF(Contents!$B$2=2,"by facilities","по сегментам")</f>
        <v>по сегментам</v>
      </c>
      <c r="C52" s="222"/>
      <c r="D52" s="168"/>
      <c r="E52" s="168"/>
      <c r="F52" s="168"/>
      <c r="G52" s="169"/>
      <c r="H52" s="179"/>
      <c r="I52" s="589"/>
      <c r="J52" s="286"/>
      <c r="K52" s="236"/>
      <c r="L52" s="557"/>
      <c r="M52" s="473"/>
    </row>
    <row r="53" spans="2:13" ht="22.5" customHeight="1">
      <c r="B53" s="126" t="str">
        <f>IF(Contents!$B$2=2,"Production / Upstream facilities","Предприятия добычи")</f>
        <v>Предприятия добычи</v>
      </c>
      <c r="C53" s="221" t="str">
        <f>IF(Contents!$B$2=2,"thousand GJ","тыс. ГДж")</f>
        <v>тыс. ГДж</v>
      </c>
      <c r="D53" s="148" t="s">
        <v>12</v>
      </c>
      <c r="E53" s="148" t="s">
        <v>12</v>
      </c>
      <c r="F53" s="170">
        <v>4831</v>
      </c>
      <c r="G53" s="170">
        <v>4690</v>
      </c>
      <c r="H53" s="171">
        <v>5254</v>
      </c>
      <c r="I53" s="541"/>
      <c r="J53" s="204"/>
      <c r="K53" s="233" t="str">
        <f>IF(Contents!$B$2=2,"No","Нет")</f>
        <v>Нет</v>
      </c>
      <c r="L53" s="555" t="str">
        <f>IF(Contents!$B$2=2,"No","Нет")</f>
        <v>Нет</v>
      </c>
      <c r="M53" s="473"/>
    </row>
    <row r="54" spans="2:13" ht="22.5" customHeight="1">
      <c r="B54" s="126" t="str">
        <f>IF(Contents!$B$2=2,"Processing / Downstream facilities","Предприятия переработки")</f>
        <v>Предприятия переработки</v>
      </c>
      <c r="C54" s="221" t="str">
        <f>IF(Contents!$B$2=2,"thousand GJ","тыс. ГДж")</f>
        <v>тыс. ГДж</v>
      </c>
      <c r="D54" s="148" t="s">
        <v>12</v>
      </c>
      <c r="E54" s="148" t="s">
        <v>12</v>
      </c>
      <c r="F54" s="170">
        <v>926</v>
      </c>
      <c r="G54" s="170">
        <v>928</v>
      </c>
      <c r="H54" s="171">
        <v>988</v>
      </c>
      <c r="I54" s="541"/>
      <c r="J54" s="204"/>
      <c r="K54" s="233" t="str">
        <f>IF(Contents!$B$2=2,"No","Нет")</f>
        <v>Нет</v>
      </c>
      <c r="L54" s="555" t="str">
        <f>IF(Contents!$B$2=2,"No","Нет")</f>
        <v>Нет</v>
      </c>
      <c r="M54" s="473"/>
    </row>
    <row r="55" spans="2:13" ht="22.5" customHeight="1">
      <c r="B55" s="126" t="str">
        <f>IF(Contents!$B$2=2,"LNG production facilities","Производство СПГ")</f>
        <v>Производство СПГ</v>
      </c>
      <c r="C55" s="221" t="str">
        <f>IF(Contents!$B$2=2,"thousand GJ","тыс. ГДж")</f>
        <v>тыс. ГДж</v>
      </c>
      <c r="D55" s="148" t="s">
        <v>12</v>
      </c>
      <c r="E55" s="148" t="s">
        <v>12</v>
      </c>
      <c r="F55" s="170">
        <v>7139</v>
      </c>
      <c r="G55" s="170">
        <v>7379</v>
      </c>
      <c r="H55" s="171">
        <v>8040</v>
      </c>
      <c r="I55" s="541"/>
      <c r="J55" s="204"/>
      <c r="K55" s="233" t="str">
        <f>IF(Contents!$B$2=2,"No","Нет")</f>
        <v>Нет</v>
      </c>
      <c r="L55" s="555" t="str">
        <f>IF(Contents!$B$2=2,"No","Нет")</f>
        <v>Нет</v>
      </c>
      <c r="M55" s="473"/>
    </row>
    <row r="56" spans="2:13" ht="22.5" customHeight="1">
      <c r="B56" s="127" t="str">
        <f>IF(Contents!$B$2=2,"Other","Прочие")</f>
        <v>Прочие</v>
      </c>
      <c r="C56" s="221" t="str">
        <f>IF(Contents!$B$2=2,"thousand GJ","тыс. ГДж")</f>
        <v>тыс. ГДж</v>
      </c>
      <c r="D56" s="148" t="s">
        <v>12</v>
      </c>
      <c r="E56" s="148" t="s">
        <v>12</v>
      </c>
      <c r="F56" s="170">
        <v>46</v>
      </c>
      <c r="G56" s="170">
        <v>486</v>
      </c>
      <c r="H56" s="171">
        <v>1191</v>
      </c>
      <c r="I56" s="541"/>
      <c r="J56" s="204"/>
      <c r="K56" s="233" t="str">
        <f>IF(Contents!$B$2=2,"No","Нет")</f>
        <v>Нет</v>
      </c>
      <c r="L56" s="555" t="str">
        <f>IF(Contents!$B$2=2,"No","Нет")</f>
        <v>Нет</v>
      </c>
      <c r="M56" s="473"/>
    </row>
    <row r="57" spans="2:13" ht="22.5" customHeight="1">
      <c r="B57" s="27" t="str">
        <f>IF(Contents!$B$2=2,"Electricity consumption","Потребление электроэнергии")</f>
        <v>Потребление электроэнергии</v>
      </c>
      <c r="C57" s="221" t="str">
        <f>IF(Contents!$B$2=2,"mln kWh","млн кВт*ч")</f>
        <v>млн кВт*ч</v>
      </c>
      <c r="D57" s="170">
        <v>675</v>
      </c>
      <c r="E57" s="170">
        <v>1862</v>
      </c>
      <c r="F57" s="170">
        <v>2691</v>
      </c>
      <c r="G57" s="161">
        <v>2927</v>
      </c>
      <c r="H57" s="171">
        <v>3322</v>
      </c>
      <c r="I57" s="541"/>
      <c r="J57" s="204"/>
      <c r="K57" s="233" t="str">
        <f>IF(Contents!$B$2=2,"No","Нет")</f>
        <v>Нет</v>
      </c>
      <c r="L57" s="555" t="str">
        <f>IF(Contents!$B$2=2,"No","Нет")</f>
        <v>Нет</v>
      </c>
      <c r="M57" s="473"/>
    </row>
    <row r="58" spans="2:13" ht="22.5" customHeight="1">
      <c r="B58" s="287" t="str">
        <f>IF(Contents!$B$2=2,"Fuel consumption from non-renewable sources, including","Расход топлива из невозобновляемых источников, в т.ч.")</f>
        <v>Расход топлива из невозобновляемых источников, в т.ч.</v>
      </c>
      <c r="C58" s="222" t="str">
        <f>IF(Contents!$B$2=2,"thousand GJ","тыс. ГДж")</f>
        <v>тыс. ГДж</v>
      </c>
      <c r="D58" s="151" t="s">
        <v>12</v>
      </c>
      <c r="E58" s="151" t="s">
        <v>12</v>
      </c>
      <c r="F58" s="168">
        <v>159140</v>
      </c>
      <c r="G58" s="169">
        <v>175960</v>
      </c>
      <c r="H58" s="169">
        <v>193252</v>
      </c>
      <c r="I58" s="541"/>
      <c r="J58" s="201" t="s">
        <v>23</v>
      </c>
      <c r="K58" s="234" t="str">
        <f>IF(Contents!$B$2=2,"No","Нет")</f>
        <v>Нет</v>
      </c>
      <c r="L58" s="556" t="str">
        <f>IF(Contents!$B$2=2,"No","Нет")</f>
        <v>Нет</v>
      </c>
      <c r="M58" s="473"/>
    </row>
    <row r="59" spans="2:13" ht="22.5" customHeight="1">
      <c r="B59" s="127" t="str">
        <f>IF(Contents!$B$2=2,"Natural gas to produce heat and electricity","Природный газ для производства тепла и электроэнергии")</f>
        <v>Природный газ для производства тепла и электроэнергии</v>
      </c>
      <c r="C59" s="221" t="str">
        <f>IF(Contents!$B$2=2,"thousand GJ","тыс. ГДж")</f>
        <v>тыс. ГДж</v>
      </c>
      <c r="D59" s="170">
        <v>5877</v>
      </c>
      <c r="E59" s="170">
        <v>20720</v>
      </c>
      <c r="F59" s="170">
        <v>30457</v>
      </c>
      <c r="G59" s="161">
        <v>34983</v>
      </c>
      <c r="H59" s="171">
        <v>38846</v>
      </c>
      <c r="I59" s="541"/>
      <c r="J59" s="204"/>
      <c r="K59" s="233" t="str">
        <f>IF(Contents!$B$2=2,"No","Нет")</f>
        <v>Нет</v>
      </c>
      <c r="L59" s="555" t="str">
        <f>IF(Contents!$B$2=2,"No","Нет")</f>
        <v>Нет</v>
      </c>
      <c r="M59" s="473"/>
    </row>
    <row r="60" spans="2:13" ht="22.5" customHeight="1">
      <c r="B60" s="127" t="str">
        <f>IF(Contents!$B$2=2,"Natural gas for the Company's own technological needs","Природный газ для собственных технологических нужд Компании")</f>
        <v>Природный газ для собственных технологических нужд Компании</v>
      </c>
      <c r="C60" s="221" t="str">
        <f>IF(Contents!$B$2=2,"thousand GJ","тыс. ГДж")</f>
        <v>тыс. ГДж</v>
      </c>
      <c r="D60" s="148" t="s">
        <v>12</v>
      </c>
      <c r="E60" s="148" t="s">
        <v>12</v>
      </c>
      <c r="F60" s="170">
        <v>128678</v>
      </c>
      <c r="G60" s="170">
        <v>140973</v>
      </c>
      <c r="H60" s="191">
        <v>154401</v>
      </c>
      <c r="I60" s="544"/>
      <c r="J60" s="204"/>
      <c r="K60" s="233" t="str">
        <f>IF(Contents!$B$2=2,"No","Нет")</f>
        <v>Нет</v>
      </c>
      <c r="L60" s="555" t="str">
        <f>IF(Contents!$B$2=2,"No","Нет")</f>
        <v>Нет</v>
      </c>
      <c r="M60" s="473"/>
    </row>
    <row r="61" spans="2:13" ht="22.5" customHeight="1">
      <c r="B61" s="127" t="str">
        <f>IF(Contents!$B$2=2,"Butane fraction","Бутановая фракция")</f>
        <v>Бутановая фракция</v>
      </c>
      <c r="C61" s="221" t="str">
        <f>IF(Contents!$B$2=2,"thousand GJ","тыс. ГДж")</f>
        <v>тыс. ГДж</v>
      </c>
      <c r="D61" s="148" t="s">
        <v>12</v>
      </c>
      <c r="E61" s="148" t="s">
        <v>12</v>
      </c>
      <c r="F61" s="170">
        <v>5</v>
      </c>
      <c r="G61" s="170">
        <v>4</v>
      </c>
      <c r="H61" s="191">
        <v>5</v>
      </c>
      <c r="I61" s="544"/>
      <c r="J61" s="204"/>
      <c r="K61" s="233" t="str">
        <f>IF(Contents!$B$2=2,"No","Нет")</f>
        <v>Нет</v>
      </c>
      <c r="L61" s="555" t="str">
        <f>IF(Contents!$B$2=2,"No","Нет")</f>
        <v>Нет</v>
      </c>
      <c r="M61" s="473"/>
    </row>
    <row r="62" spans="2:13" ht="22.5" customHeight="1">
      <c r="B62" s="294" t="str">
        <f>IF(Contents!$B$2=2,"Energy intensity","Удельное потребление электроэнергии")</f>
        <v>Удельное потребление электроэнергии</v>
      </c>
      <c r="C62" s="243"/>
      <c r="D62" s="295"/>
      <c r="E62" s="295"/>
      <c r="F62" s="295"/>
      <c r="G62" s="272"/>
      <c r="H62" s="296"/>
      <c r="I62" s="589"/>
      <c r="J62" s="247" t="s">
        <v>24</v>
      </c>
      <c r="K62" s="297"/>
      <c r="L62" s="570"/>
      <c r="M62" s="473"/>
    </row>
    <row r="63" spans="2:13" ht="22.5" customHeight="1">
      <c r="B63" s="129" t="str">
        <f>IF(Contents!$B$2=2,"by process","по процессам")</f>
        <v>по процессам</v>
      </c>
      <c r="C63" s="222"/>
      <c r="D63" s="172"/>
      <c r="E63" s="172"/>
      <c r="F63" s="172"/>
      <c r="G63" s="167"/>
      <c r="H63" s="179"/>
      <c r="I63" s="589"/>
      <c r="J63" s="201"/>
      <c r="K63" s="236"/>
      <c r="L63" s="557"/>
      <c r="M63" s="473"/>
    </row>
    <row r="64" spans="2:13" ht="22.5" customHeight="1">
      <c r="B64" s="127" t="str">
        <f>IF(Contents!$B$2=2,"Gas production","Добыча газа")</f>
        <v>Добыча газа</v>
      </c>
      <c r="C64" s="221" t="str">
        <f>IF(Contents!$B$2=2,"kWh / thousand cm","кВт*ч / тыс. куб. м")</f>
        <v>кВт*ч / тыс. куб. м</v>
      </c>
      <c r="D64" s="192">
        <v>2.5</v>
      </c>
      <c r="E64" s="192">
        <v>2.1</v>
      </c>
      <c r="F64" s="192">
        <v>2.4</v>
      </c>
      <c r="G64" s="152">
        <v>2.5</v>
      </c>
      <c r="H64" s="153">
        <v>2.5</v>
      </c>
      <c r="I64" s="538"/>
      <c r="J64" s="204"/>
      <c r="K64" s="233" t="str">
        <f>IF(Contents!$B$2=2,"No","Нет")</f>
        <v>Нет</v>
      </c>
      <c r="L64" s="555" t="str">
        <f>IF(Contents!$B$2=2,"Yes","Да")</f>
        <v>Да</v>
      </c>
      <c r="M64" s="473"/>
    </row>
    <row r="65" spans="2:13" ht="22.5" customHeight="1">
      <c r="B65" s="127" t="str">
        <f>IF(Contents!$B$2=2,"Condensate production","Добыча конденсата")</f>
        <v>Добыча конденсата</v>
      </c>
      <c r="C65" s="221" t="str">
        <f>IF(Contents!$B$2=2,"kWh / t","кВт*ч / т")</f>
        <v>кВт*ч / т</v>
      </c>
      <c r="D65" s="192">
        <v>12.4</v>
      </c>
      <c r="E65" s="192">
        <v>10.7</v>
      </c>
      <c r="F65" s="192">
        <v>10.8</v>
      </c>
      <c r="G65" s="152">
        <v>10.3</v>
      </c>
      <c r="H65" s="153">
        <v>10.3</v>
      </c>
      <c r="I65" s="538"/>
      <c r="J65" s="204"/>
      <c r="K65" s="233" t="str">
        <f>IF(Contents!$B$2=2,"No","Нет")</f>
        <v>Нет</v>
      </c>
      <c r="L65" s="555" t="str">
        <f>IF(Contents!$B$2=2,"Yes","Да")</f>
        <v>Да</v>
      </c>
      <c r="M65" s="473"/>
    </row>
    <row r="66" spans="2:13" ht="22.5" customHeight="1">
      <c r="B66" s="127" t="str">
        <f>IF(Contents!$B$2=2,"Oil production","Добыча нефти")</f>
        <v>Добыча нефти</v>
      </c>
      <c r="C66" s="221" t="str">
        <f>IF(Contents!$B$2=2,"kWh / t","кВт*ч / т")</f>
        <v>кВт*ч / т</v>
      </c>
      <c r="D66" s="192">
        <v>24</v>
      </c>
      <c r="E66" s="192">
        <v>21.4</v>
      </c>
      <c r="F66" s="192">
        <v>27.6</v>
      </c>
      <c r="G66" s="152">
        <v>34.6</v>
      </c>
      <c r="H66" s="153">
        <v>41.9</v>
      </c>
      <c r="I66" s="538"/>
      <c r="J66" s="204"/>
      <c r="K66" s="233" t="str">
        <f>IF(Contents!$B$2=2,"No","Нет")</f>
        <v>Нет</v>
      </c>
      <c r="L66" s="555" t="str">
        <f>IF(Contents!$B$2=2,"Yes","Да")</f>
        <v>Да</v>
      </c>
      <c r="M66" s="473"/>
    </row>
    <row r="67" spans="2:13" ht="22.5" customHeight="1">
      <c r="B67" s="127" t="str">
        <f>IF(Contents!$B$2=2,"Condensate processing","Переработка конденсата")</f>
        <v>Переработка конденсата</v>
      </c>
      <c r="C67" s="221" t="str">
        <f>IF(Contents!$B$2=2,"kWh / t","кВт*ч / т")</f>
        <v>кВт*ч / т</v>
      </c>
      <c r="D67" s="192">
        <v>7.1</v>
      </c>
      <c r="E67" s="192">
        <v>6.5</v>
      </c>
      <c r="F67" s="192">
        <v>6.6</v>
      </c>
      <c r="G67" s="152">
        <v>6.3</v>
      </c>
      <c r="H67" s="153">
        <v>6.4</v>
      </c>
      <c r="I67" s="538"/>
      <c r="J67" s="204"/>
      <c r="K67" s="233" t="str">
        <f>IF(Contents!$B$2=2,"No","Нет")</f>
        <v>Нет</v>
      </c>
      <c r="L67" s="555" t="str">
        <f>IF(Contents!$B$2=2,"Yes","Да")</f>
        <v>Да</v>
      </c>
      <c r="M67" s="240" t="str">
        <f>IF(Contents!$B$2=2,"Energy intensity is calculated as energy consumption per production/processing volumes in corresponding business segment, including the Company's share in JVs. Before 2020 without Yamal LNG.","Энергоемкость рассчитывается как потребление энергии на объемы производства/переработки в соответствующем бизнес-сегменте, включая долю Компании в совместных предприятиях. До 2020 года без «Ямал СПГ».")</f>
        <v>Энергоемкость рассчитывается как потребление энергии на объемы производства/переработки в соответствующем бизнес-сегменте, включая долю Компании в совместных предприятиях. До 2020 года без «Ямал СПГ».</v>
      </c>
    </row>
    <row r="68" spans="2:13" ht="22.5" customHeight="1">
      <c r="B68" s="298" t="str">
        <f>IF(Contents!$B$2=2,"Gas liquefaction, including shipments of LNG and gas condensate","Сжижение газа, включая поставки СПГ и газового конденсата")</f>
        <v>Сжижение газа, включая поставки СПГ и газового конденсата</v>
      </c>
      <c r="C68" s="221" t="str">
        <f>IF(Contents!$B$2=2,"kWh / t","кВт*ч / т")</f>
        <v>кВт*ч / т</v>
      </c>
      <c r="D68" s="174" t="s">
        <v>12</v>
      </c>
      <c r="E68" s="192">
        <v>107.6</v>
      </c>
      <c r="F68" s="192">
        <v>87.9</v>
      </c>
      <c r="G68" s="152">
        <v>91.8</v>
      </c>
      <c r="H68" s="153">
        <v>93.4</v>
      </c>
      <c r="I68" s="538"/>
      <c r="J68" s="212"/>
      <c r="K68" s="233" t="str">
        <f>IF(Contents!$B$2=2,"No","Нет")</f>
        <v>Нет</v>
      </c>
      <c r="L68" s="555" t="str">
        <f>IF(Contents!$B$2=2,"Yes","Да")</f>
        <v>Да</v>
      </c>
      <c r="M68" s="473"/>
    </row>
    <row r="69" spans="2:13" ht="22.5" customHeight="1">
      <c r="B69" s="294" t="str">
        <f>IF(Contents!$B$2=2,"Production / Upstream energy consumption intensity","Удельное энергопотребление (электрической и тепловой)")</f>
        <v>Удельное энергопотребление (электрической и тепловой)</v>
      </c>
      <c r="C69" s="243" t="str">
        <f>IF(Contents!$B$2=2,"GJ / boe","ГДж / бнэ")</f>
        <v>ГДж / бнэ</v>
      </c>
      <c r="D69" s="295" t="s">
        <v>12</v>
      </c>
      <c r="E69" s="295" t="s">
        <v>12</v>
      </c>
      <c r="F69" s="299">
        <v>0.02</v>
      </c>
      <c r="G69" s="299">
        <v>0.02</v>
      </c>
      <c r="H69" s="299">
        <v>0.02</v>
      </c>
      <c r="I69" s="590"/>
      <c r="J69" s="247"/>
      <c r="K69" s="297"/>
      <c r="L69" s="584" t="str">
        <f>IF(Contents!$B$2=2,"Yes","Да")</f>
        <v>Да</v>
      </c>
      <c r="M69" s="473"/>
    </row>
    <row r="70" spans="2:13" ht="22.5" customHeight="1">
      <c r="B70" s="126" t="str">
        <f>IF(Contents!$B$2=2,"Production / Upstream facilities","Предприятия добычи")</f>
        <v>Предприятия добычи</v>
      </c>
      <c r="C70" s="221" t="str">
        <f>IF(Contents!$B$2=2,"GJ / boe","ГДж / бнэ")</f>
        <v>ГДж / бнэ</v>
      </c>
      <c r="D70" s="148" t="s">
        <v>12</v>
      </c>
      <c r="E70" s="148" t="s">
        <v>12</v>
      </c>
      <c r="F70" s="293">
        <v>0.01</v>
      </c>
      <c r="G70" s="293">
        <v>0.01</v>
      </c>
      <c r="H70" s="279">
        <v>0.01</v>
      </c>
      <c r="I70" s="591"/>
      <c r="J70" s="204"/>
      <c r="K70" s="233"/>
      <c r="L70" s="555" t="str">
        <f>IF(Contents!$B$2=2,"Yes","Да")</f>
        <v>Да</v>
      </c>
      <c r="M70" s="473"/>
    </row>
    <row r="71" spans="2:13" ht="22.5" customHeight="1">
      <c r="B71" s="39" t="str">
        <f>IF(Contents!$B$2=2,"Reduction of energy consumption due to energy energy-efficiency and energy-saving initiatives","Суммарный объем энергосбережения")</f>
        <v>Суммарный объем энергосбережения</v>
      </c>
      <c r="C71" s="222" t="str">
        <f>IF(Contents!$B$2=2,"thousand GJ","тыс. ГДж")</f>
        <v>тыс. ГДж</v>
      </c>
      <c r="D71" s="193">
        <v>26.7</v>
      </c>
      <c r="E71" s="193">
        <v>33.9</v>
      </c>
      <c r="F71" s="193">
        <v>32.6</v>
      </c>
      <c r="G71" s="167">
        <v>30.5</v>
      </c>
      <c r="H71" s="167">
        <v>43.2</v>
      </c>
      <c r="I71" s="538"/>
      <c r="J71" s="201" t="s">
        <v>25</v>
      </c>
      <c r="K71" s="234" t="str">
        <f>IF(Contents!$B$2=2,"No","Нет")</f>
        <v>Нет</v>
      </c>
      <c r="L71" s="556" t="str">
        <f>IF(Contents!$B$2=2,"Yes","Да")</f>
        <v>Да</v>
      </c>
      <c r="M71" s="473"/>
    </row>
    <row r="72" spans="2:13" ht="22.5" customHeight="1">
      <c r="B72" s="69"/>
      <c r="C72" s="221"/>
      <c r="D72" s="192"/>
      <c r="E72" s="192"/>
      <c r="F72" s="192"/>
      <c r="G72" s="152"/>
      <c r="H72" s="152"/>
      <c r="I72" s="538"/>
      <c r="J72" s="200"/>
      <c r="K72" s="233"/>
      <c r="L72" s="555"/>
      <c r="M72" s="473"/>
    </row>
    <row r="73" spans="2:13" ht="38.25" customHeight="1">
      <c r="B73" s="253" t="str">
        <f>IF(Contents!$B$2=2,"Renewables","Возобновляемые источники энергии")</f>
        <v>Возобновляемые источники энергии</v>
      </c>
      <c r="C73" s="243"/>
      <c r="D73" s="255"/>
      <c r="E73" s="255"/>
      <c r="F73" s="319"/>
      <c r="G73" s="319"/>
      <c r="H73" s="320"/>
      <c r="I73" s="591"/>
      <c r="J73" s="321"/>
      <c r="K73" s="248"/>
      <c r="L73" s="562"/>
      <c r="M73" s="473"/>
    </row>
    <row r="74" spans="2:13" ht="22.5" customHeight="1">
      <c r="B74" s="39" t="str">
        <f>IF(Contents!$B$2=2,"Electricity generation from renewables","Производство электроэнергии из ВИЭ")</f>
        <v>Производство электроэнергии из ВИЭ</v>
      </c>
      <c r="C74" s="222" t="str">
        <f>IF(Contents!$B$2=2,"thousand kWh","тыс. кВт*ч")</f>
        <v>тыс. кВт*ч</v>
      </c>
      <c r="D74" s="168">
        <v>300</v>
      </c>
      <c r="E74" s="168">
        <v>347</v>
      </c>
      <c r="F74" s="168">
        <v>263</v>
      </c>
      <c r="G74" s="167">
        <v>222</v>
      </c>
      <c r="H74" s="167">
        <v>209</v>
      </c>
      <c r="I74" s="538"/>
      <c r="J74" s="201" t="s">
        <v>26</v>
      </c>
      <c r="K74" s="234" t="str">
        <f>IF(Contents!$B$2=2,"No","Нет")</f>
        <v>Нет</v>
      </c>
      <c r="L74" s="556" t="str">
        <f>IF(Contents!$B$2=2,"Yes","Да")</f>
        <v>Да</v>
      </c>
      <c r="M74" s="473"/>
    </row>
    <row r="75" spans="2:13" ht="22.5" customHeight="1">
      <c r="B75" s="289" t="str">
        <f>IF(Contents!$B$2=2,"Wind turbines","Ветряные турбины")</f>
        <v>Ветряные турбины</v>
      </c>
      <c r="C75" s="221" t="str">
        <f>IF(Contents!$B$2=2,"thousand kWh","тыс. кВт*ч")</f>
        <v>тыс. кВт*ч</v>
      </c>
      <c r="D75" s="174" t="s">
        <v>12</v>
      </c>
      <c r="E75" s="170">
        <v>145</v>
      </c>
      <c r="F75" s="170">
        <v>116</v>
      </c>
      <c r="G75" s="152">
        <v>76</v>
      </c>
      <c r="H75" s="153">
        <v>80</v>
      </c>
      <c r="I75" s="538"/>
      <c r="J75" s="212"/>
      <c r="K75" s="233" t="str">
        <f>IF(Contents!$B$2=2,"No","Нет")</f>
        <v>Нет</v>
      </c>
      <c r="L75" s="555" t="str">
        <f>IF(Contents!$B$2=2,"Yes","Да")</f>
        <v>Да</v>
      </c>
      <c r="M75" s="473"/>
    </row>
    <row r="76" spans="2:13" ht="22.5" customHeight="1">
      <c r="B76" s="289" t="str">
        <f>IF(Contents!$B$2=2,"Solar modules","Солнечные модули")</f>
        <v>Солнечные модули</v>
      </c>
      <c r="C76" s="221" t="str">
        <f>IF(Contents!$B$2=2,"thousand kWh","тыс. кВт*ч")</f>
        <v>тыс. кВт*ч</v>
      </c>
      <c r="D76" s="174" t="s">
        <v>12</v>
      </c>
      <c r="E76" s="170">
        <v>202</v>
      </c>
      <c r="F76" s="170">
        <v>147</v>
      </c>
      <c r="G76" s="152">
        <v>146</v>
      </c>
      <c r="H76" s="153">
        <v>129</v>
      </c>
      <c r="I76" s="538"/>
      <c r="J76" s="212"/>
      <c r="K76" s="233" t="str">
        <f>IF(Contents!$B$2=2,"No","Нет")</f>
        <v>Нет</v>
      </c>
      <c r="L76" s="555" t="str">
        <f>IF(Contents!$B$2=2,"Yes","Да")</f>
        <v>Да</v>
      </c>
      <c r="M76" s="473"/>
    </row>
    <row r="77" spans="2:13" ht="22.5" customHeight="1">
      <c r="B77" s="39" t="str">
        <f>IF(Contents!$B$2=2,"Share of renewables in total electricity generation","Доля ВИЭ в общем производстве электроэнергии")</f>
        <v>Доля ВИЭ в общем производстве электроэнергии</v>
      </c>
      <c r="C77" s="222" t="s">
        <v>0</v>
      </c>
      <c r="D77" s="194">
        <v>0.1</v>
      </c>
      <c r="E77" s="194">
        <v>0.02</v>
      </c>
      <c r="F77" s="194">
        <v>0.01</v>
      </c>
      <c r="G77" s="167">
        <v>0.01</v>
      </c>
      <c r="H77" s="167">
        <v>0.01</v>
      </c>
      <c r="I77" s="538"/>
      <c r="J77" s="201" t="s">
        <v>26</v>
      </c>
      <c r="K77" s="234" t="str">
        <f>IF(Contents!$B$2=2,"No","Нет")</f>
        <v>Нет</v>
      </c>
      <c r="L77" s="556" t="str">
        <f>IF(Contents!$B$2=2,"Yes","Да")</f>
        <v>Да</v>
      </c>
      <c r="M77" s="473"/>
    </row>
    <row r="78" spans="2:13" ht="22.5" customHeight="1">
      <c r="B78" s="69" t="str">
        <f>IF(Contents!$B$2=2,"Number of renewable energy sources","Количество ВИЭ")</f>
        <v>Количество ВИЭ</v>
      </c>
      <c r="C78" s="221" t="s">
        <v>6</v>
      </c>
      <c r="D78" s="170">
        <v>128</v>
      </c>
      <c r="E78" s="170">
        <v>124</v>
      </c>
      <c r="F78" s="170">
        <v>132</v>
      </c>
      <c r="G78" s="152">
        <v>148</v>
      </c>
      <c r="H78" s="153">
        <v>148</v>
      </c>
      <c r="I78" s="538"/>
      <c r="J78" s="200" t="s">
        <v>26</v>
      </c>
      <c r="K78" s="233"/>
      <c r="L78" s="555" t="str">
        <f>IF(Contents!$B$2=2,"Yes","Да")</f>
        <v>Да</v>
      </c>
      <c r="M78" s="473"/>
    </row>
    <row r="79" spans="2:13" ht="24" customHeight="1">
      <c r="B79" s="39" t="str">
        <f>IF(Contents!$B$2=2,"Investments in renewables","Объем инвестиций в ВИЭ")</f>
        <v>Объем инвестиций в ВИЭ</v>
      </c>
      <c r="C79" s="222" t="str">
        <f>IF(Contents!$B$2=2,"RR million","млн руб.")</f>
        <v>млн руб.</v>
      </c>
      <c r="D79" s="193" t="s">
        <v>12</v>
      </c>
      <c r="E79" s="194" t="s">
        <v>12</v>
      </c>
      <c r="F79" s="323">
        <v>83</v>
      </c>
      <c r="G79" s="167">
        <v>99</v>
      </c>
      <c r="H79" s="167">
        <v>225</v>
      </c>
      <c r="I79" s="538"/>
      <c r="J79" s="201" t="s">
        <v>38</v>
      </c>
      <c r="K79" s="234"/>
      <c r="L79" s="556" t="str">
        <f>IF(Contents!$B$2=2,"Yes","Да")</f>
        <v>Да</v>
      </c>
      <c r="M79" s="240" t="str">
        <f>IF(Contents!$B$2=2,"Investments in OOO Yargeo, OOO NOVATEK-YURKHAROVNEFTEGAZ, OOO NOVATEK-TARKOSALENEFTEGAZ, AO Arcticgas.","Инвестиции в OOO «Яргео», OOO «НОВАТЭК-ЮРХАРОВНЕФТЕГАЗ», OOO «НОВАТЭК-ТАРКОСАЛЕНЕФТЕГАЗ», AO «Арктикгаз».")</f>
        <v>Инвестиции в OOO «Яргео», OOO «НОВАТЭК-ЮРХАРОВНЕФТЕГАЗ», OOO «НОВАТЭК-ТАРКОСАЛЕНЕФТЕГАЗ», AO «Арктикгаз».</v>
      </c>
    </row>
    <row r="80" spans="2:13" ht="24" customHeight="1">
      <c r="B80" s="69" t="str">
        <f>IF(Contents!$B$2=2,"Share of investments in renewables in total investments","Доля инвестиций в ВИЭ в общем объеме инвестиций")</f>
        <v>Доля инвестиций в ВИЭ в общем объеме инвестиций</v>
      </c>
      <c r="C80" s="221" t="s">
        <v>0</v>
      </c>
      <c r="D80" s="170" t="s">
        <v>12</v>
      </c>
      <c r="E80" s="170" t="s">
        <v>12</v>
      </c>
      <c r="F80" s="293">
        <v>0.2</v>
      </c>
      <c r="G80" s="322">
        <v>0.5</v>
      </c>
      <c r="H80" s="270">
        <v>0.3</v>
      </c>
      <c r="I80" s="535"/>
      <c r="J80" s="200" t="s">
        <v>38</v>
      </c>
      <c r="K80" s="13"/>
      <c r="L80" s="555" t="str">
        <f>IF(Contents!$B$2=2,"No","Нет")</f>
        <v>Нет</v>
      </c>
      <c r="M80" s="240" t="str">
        <f>IF(Contents!$B$2=2,"The share of investments from the total volume of investments in OOO Yargeo, OOO NOVATEK-YURKHAROVNEFTEGAZ, OOO NOVATEK-TARKOSALENEFTEGAZ, AO Arсtiсgas.","Доля инвестиций от общего объема инвестиций в OOO «Яргео», OOO «НОВАТЭК-ЮРХАРОВНЕФТЕГАЗ», OOO «НОВАТЭК-ТАРКОСАЛЕНЕФТЕГАЗ», AO «Арктикгаз».")</f>
        <v>Доля инвестиций от общего объема инвестиций в OOO «Яргео», OOO «НОВАТЭК-ЮРХАРОВНЕФТЕГАЗ», OOO «НОВАТЭК-ТАРКОСАЛЕНЕФТЕГАЗ», AO «Арктикгаз».</v>
      </c>
    </row>
    <row r="81" spans="10:13" ht="18.75">
      <c r="J81" s="368"/>
      <c r="L81" s="523"/>
      <c r="M81" s="473"/>
    </row>
    <row r="82" spans="2:13" ht="41.25" customHeight="1">
      <c r="B82" s="20" t="str">
        <f>IF(Contents!$B$2=2,"PRODUCTION AND RESERVES","ДОБЫЧА И ЗАПАСЫ")</f>
        <v>ДОБЫЧА И ЗАПАСЫ</v>
      </c>
      <c r="C82" s="218"/>
      <c r="D82" s="140"/>
      <c r="E82" s="140"/>
      <c r="F82" s="140"/>
      <c r="G82" s="141"/>
      <c r="H82" s="260"/>
      <c r="I82" s="566"/>
      <c r="J82" s="199"/>
      <c r="K82" s="197"/>
      <c r="L82" s="550"/>
      <c r="M82" s="473"/>
    </row>
    <row r="83" spans="2:13" ht="22.5" customHeight="1">
      <c r="B83" s="79"/>
      <c r="C83" s="220"/>
      <c r="D83" s="142"/>
      <c r="E83" s="142"/>
      <c r="F83" s="142"/>
      <c r="G83" s="143"/>
      <c r="H83" s="282"/>
      <c r="I83" s="566"/>
      <c r="J83" s="283"/>
      <c r="K83" s="284"/>
      <c r="L83" s="567"/>
      <c r="M83" s="473"/>
    </row>
    <row r="84" spans="2:13" ht="22.5" customHeight="1">
      <c r="B84" s="39" t="str">
        <f>IF(Contents!$B$2=2,"Hydrocarbons production ","Добыча углеводородов")</f>
        <v>Добыча углеводородов</v>
      </c>
      <c r="C84" s="222" t="str">
        <f>IF(Contents!$B$2=2,"million boe","млн бнэ")</f>
        <v>млн бнэ</v>
      </c>
      <c r="D84" s="166">
        <v>513.3</v>
      </c>
      <c r="E84" s="166">
        <v>549.1</v>
      </c>
      <c r="F84" s="166">
        <v>589.9</v>
      </c>
      <c r="G84" s="166">
        <v>608.2</v>
      </c>
      <c r="H84" s="166">
        <v>626.3</v>
      </c>
      <c r="I84" s="540"/>
      <c r="J84" s="201"/>
      <c r="K84" s="234" t="str">
        <f>IF(Contents!$B$2=2,"Yes","Да")</f>
        <v>Да</v>
      </c>
      <c r="L84" s="556" t="str">
        <f>IF(Contents!$B$2=2,"Yes","Да")</f>
        <v>Да</v>
      </c>
      <c r="M84" s="473"/>
    </row>
    <row r="85" spans="2:13" ht="22.5" customHeight="1">
      <c r="B85" s="127" t="str">
        <f>IF(Contents!$B$2=2,"Share of natural gas production","Доля добычи природного газа")</f>
        <v>Доля добычи природного газа</v>
      </c>
      <c r="C85" s="223" t="s">
        <v>0</v>
      </c>
      <c r="D85" s="157">
        <v>80.8</v>
      </c>
      <c r="E85" s="157">
        <v>82</v>
      </c>
      <c r="F85" s="157">
        <v>82.8</v>
      </c>
      <c r="G85" s="157">
        <v>83.2</v>
      </c>
      <c r="H85" s="158">
        <v>83.4</v>
      </c>
      <c r="I85" s="543"/>
      <c r="J85" s="204"/>
      <c r="K85" s="233" t="str">
        <f>IF(Contents!$B$2=2,"No","Нет")</f>
        <v>Нет</v>
      </c>
      <c r="L85" s="555" t="str">
        <f>IF(Contents!$B$2=2,"Yes","Да")</f>
        <v>Да</v>
      </c>
      <c r="M85" s="473"/>
    </row>
    <row r="86" spans="2:13" ht="22.5" customHeight="1">
      <c r="B86" s="127" t="str">
        <f>IF(Contents!$B$2=2,"Share of liquids production","Доля добычи жидких углеводородов")</f>
        <v>Доля добычи жидких углеводородов</v>
      </c>
      <c r="C86" s="223" t="s">
        <v>0</v>
      </c>
      <c r="D86" s="165">
        <v>19.200000000000003</v>
      </c>
      <c r="E86" s="165">
        <v>18</v>
      </c>
      <c r="F86" s="165">
        <v>17.200000000000003</v>
      </c>
      <c r="G86" s="165">
        <v>16.799999999999997</v>
      </c>
      <c r="H86" s="158">
        <v>16.599999999999994</v>
      </c>
      <c r="I86" s="543"/>
      <c r="J86" s="204"/>
      <c r="K86" s="233" t="str">
        <f>IF(Contents!$B$2=2,"No","Нет")</f>
        <v>Нет</v>
      </c>
      <c r="L86" s="555" t="str">
        <f>IF(Contents!$B$2=2,"Yes","Да")</f>
        <v>Да</v>
      </c>
      <c r="M86" s="473"/>
    </row>
    <row r="87" spans="2:13" ht="22.5" customHeight="1">
      <c r="B87" s="39" t="str">
        <f>IF(Contents!$B$2=2,"Proved hydrocarbon reserves (SEC 1P)","Доказанные запасы углеводородов (SEC)")</f>
        <v>Доказанные запасы углеводородов (SEC)</v>
      </c>
      <c r="C87" s="222" t="str">
        <f>IF(Contents!$B$2=2,"million boe","млн бнэ")</f>
        <v>млн бнэ</v>
      </c>
      <c r="D87" s="166">
        <v>15120</v>
      </c>
      <c r="E87" s="166">
        <v>15789</v>
      </c>
      <c r="F87" s="166">
        <v>16265</v>
      </c>
      <c r="G87" s="166">
        <v>16366</v>
      </c>
      <c r="H87" s="166">
        <v>16409</v>
      </c>
      <c r="I87" s="540"/>
      <c r="J87" s="201"/>
      <c r="K87" s="234"/>
      <c r="L87" s="556" t="str">
        <f>IF(Contents!$B$2=2,"Yes","Да")</f>
        <v>Да</v>
      </c>
      <c r="M87" s="473"/>
    </row>
    <row r="88" spans="2:13" s="17" customFormat="1" ht="22.5" customHeight="1">
      <c r="B88" s="127" t="str">
        <f>IF(Contents!$B$2=2,"Natural gas","Природный газ")</f>
        <v>Природный газ</v>
      </c>
      <c r="C88" s="223" t="str">
        <f>IF(Contents!$B$2=2,"billion cm","млрд куб. м")</f>
        <v>млрд куб. м</v>
      </c>
      <c r="D88" s="160">
        <v>2098</v>
      </c>
      <c r="E88" s="160">
        <v>2177</v>
      </c>
      <c r="F88" s="160">
        <v>2234</v>
      </c>
      <c r="G88" s="160">
        <v>2244</v>
      </c>
      <c r="H88" s="156">
        <v>2260.6</v>
      </c>
      <c r="I88" s="588"/>
      <c r="J88" s="200"/>
      <c r="K88" s="233"/>
      <c r="L88" s="555" t="str">
        <f>IF(Contents!$B$2=2,"No","Нет")</f>
        <v>Нет</v>
      </c>
      <c r="M88" s="472"/>
    </row>
    <row r="89" spans="2:13" s="17" customFormat="1" ht="22.5" customHeight="1">
      <c r="B89" s="127" t="str">
        <f>IF(Contents!$B$2=2," Liquids","Жидкие углеводороды")</f>
        <v>Жидкие углеводороды</v>
      </c>
      <c r="C89" s="223" t="str">
        <f>IF(Contents!$B$2=2,"million t","млн т")</f>
        <v>млн т</v>
      </c>
      <c r="D89" s="160">
        <v>164</v>
      </c>
      <c r="E89" s="160">
        <v>181</v>
      </c>
      <c r="F89" s="160">
        <v>193</v>
      </c>
      <c r="G89" s="160">
        <v>197</v>
      </c>
      <c r="H89" s="156">
        <v>189</v>
      </c>
      <c r="I89" s="588"/>
      <c r="J89" s="200"/>
      <c r="K89" s="233"/>
      <c r="L89" s="555" t="str">
        <f>IF(Contents!$B$2=2,"No","Нет")</f>
        <v>Нет</v>
      </c>
      <c r="M89" s="472"/>
    </row>
    <row r="90" spans="2:13" s="17" customFormat="1" ht="22.5" customHeight="1">
      <c r="B90" s="281" t="str">
        <f>IF(Contents!$B$2=2,"Crude oil","Нефть")</f>
        <v>Нефть</v>
      </c>
      <c r="C90" s="223" t="str">
        <f>IF(Contents!$B$2=2,"million t","млн т")</f>
        <v>млн т</v>
      </c>
      <c r="D90" s="160" t="s">
        <v>12</v>
      </c>
      <c r="E90" s="160" t="s">
        <v>12</v>
      </c>
      <c r="F90" s="160" t="s">
        <v>12</v>
      </c>
      <c r="G90" s="160" t="s">
        <v>12</v>
      </c>
      <c r="H90" s="156">
        <v>36.9</v>
      </c>
      <c r="I90" s="588"/>
      <c r="J90" s="200"/>
      <c r="K90" s="233"/>
      <c r="L90" s="555" t="str">
        <f>IF(Contents!$B$2=2,"No","Нет")</f>
        <v>Нет</v>
      </c>
      <c r="M90" s="472"/>
    </row>
    <row r="91" spans="2:13" s="17" customFormat="1" ht="22.5" customHeight="1">
      <c r="B91" s="281" t="str">
        <f>IF(Contents!$B$2=2,"Gas condensate","Газовый конденсат")</f>
        <v>Газовый конденсат</v>
      </c>
      <c r="C91" s="223" t="str">
        <f>IF(Contents!$B$2=2,"million t","млн т")</f>
        <v>млн т</v>
      </c>
      <c r="D91" s="160" t="s">
        <v>12</v>
      </c>
      <c r="E91" s="160" t="s">
        <v>12</v>
      </c>
      <c r="F91" s="160" t="s">
        <v>12</v>
      </c>
      <c r="G91" s="160" t="s">
        <v>12</v>
      </c>
      <c r="H91" s="156">
        <v>152</v>
      </c>
      <c r="I91" s="588"/>
      <c r="J91" s="200"/>
      <c r="K91" s="233"/>
      <c r="L91" s="555" t="str">
        <f>IF(Contents!$B$2=2,"No","Нет")</f>
        <v>Нет</v>
      </c>
      <c r="M91" s="472"/>
    </row>
    <row r="92" spans="2:13" s="17" customFormat="1" ht="22.5" customHeight="1">
      <c r="B92" s="127" t="str">
        <f>IF(Contents!$B$2=2,"Oil sands","Нефтяные пески")</f>
        <v>Нефтяные пески</v>
      </c>
      <c r="C92" s="221" t="str">
        <f>IF(Contents!$B$2=2,"million boe","млн бнэ")</f>
        <v>млн бнэ</v>
      </c>
      <c r="D92" s="160" t="s">
        <v>12</v>
      </c>
      <c r="E92" s="160" t="s">
        <v>12</v>
      </c>
      <c r="F92" s="160" t="s">
        <v>12</v>
      </c>
      <c r="G92" s="160" t="s">
        <v>12</v>
      </c>
      <c r="H92" s="153">
        <v>0</v>
      </c>
      <c r="I92" s="538"/>
      <c r="J92" s="200"/>
      <c r="K92" s="233" t="str">
        <f>IF(Contents!$B$2=2,"Yes","Да")</f>
        <v>Да</v>
      </c>
      <c r="L92" s="555" t="str">
        <f>IF(Contents!$B$2=2,"No","Нет")</f>
        <v>Нет</v>
      </c>
      <c r="M92" s="472"/>
    </row>
    <row r="93" spans="2:13" s="17" customFormat="1" ht="22.5" customHeight="1">
      <c r="B93" s="127" t="str">
        <f>IF(Contents!$B$2=2,"Tar sands","Битуминозные пески")</f>
        <v>Битуминозные пески</v>
      </c>
      <c r="C93" s="221" t="str">
        <f>IF(Contents!$B$2=2,"million boe","млн бнэ")</f>
        <v>млн бнэ</v>
      </c>
      <c r="D93" s="160" t="s">
        <v>12</v>
      </c>
      <c r="E93" s="160" t="s">
        <v>12</v>
      </c>
      <c r="F93" s="160" t="s">
        <v>12</v>
      </c>
      <c r="G93" s="160" t="s">
        <v>12</v>
      </c>
      <c r="H93" s="153">
        <v>0</v>
      </c>
      <c r="I93" s="538"/>
      <c r="J93" s="200"/>
      <c r="K93" s="233" t="str">
        <f>IF(Contents!$B$2=2,"Yes","Да")</f>
        <v>Да</v>
      </c>
      <c r="L93" s="555" t="str">
        <f>IF(Contents!$B$2=2,"No","Нет")</f>
        <v>Нет</v>
      </c>
      <c r="M93" s="472"/>
    </row>
    <row r="94" spans="2:13" s="17" customFormat="1" ht="22.5" customHeight="1">
      <c r="B94" s="127" t="str">
        <f>IF(Contents!$B$2=2,"Heavy oil","Тяжелая нефть")</f>
        <v>Тяжелая нефть</v>
      </c>
      <c r="C94" s="221" t="str">
        <f>IF(Contents!$B$2=2,"million boe","млн бнэ")</f>
        <v>млн бнэ</v>
      </c>
      <c r="D94" s="160" t="s">
        <v>12</v>
      </c>
      <c r="E94" s="160" t="s">
        <v>12</v>
      </c>
      <c r="F94" s="160" t="s">
        <v>12</v>
      </c>
      <c r="G94" s="160" t="s">
        <v>12</v>
      </c>
      <c r="H94" s="153">
        <v>0</v>
      </c>
      <c r="I94" s="538"/>
      <c r="J94" s="200"/>
      <c r="K94" s="233" t="str">
        <f>IF(Contents!$B$2=2,"Yes","Да")</f>
        <v>Да</v>
      </c>
      <c r="L94" s="555" t="str">
        <f>IF(Contents!$B$2=2,"No","Нет")</f>
        <v>Нет</v>
      </c>
      <c r="M94" s="472"/>
    </row>
    <row r="95" spans="2:13" s="17" customFormat="1" ht="22.5" customHeight="1">
      <c r="B95" s="127" t="str">
        <f>IF(Contents!$B$2=2,"Tight / shale oil","Cланцевая нефть/Низкопроницаемые коллектора")</f>
        <v>Cланцевая нефть/Низкопроницаемые коллектора</v>
      </c>
      <c r="C95" s="221" t="str">
        <f>IF(Contents!$B$2=2,"million boe","млн бнэ")</f>
        <v>млн бнэ</v>
      </c>
      <c r="D95" s="160" t="s">
        <v>12</v>
      </c>
      <c r="E95" s="160" t="s">
        <v>12</v>
      </c>
      <c r="F95" s="160" t="s">
        <v>12</v>
      </c>
      <c r="G95" s="160" t="s">
        <v>12</v>
      </c>
      <c r="H95" s="153">
        <v>0</v>
      </c>
      <c r="I95" s="538"/>
      <c r="J95" s="198"/>
      <c r="K95" s="233" t="str">
        <f>IF(Contents!$B$2=2,"Yes","Да")</f>
        <v>Да</v>
      </c>
      <c r="L95" s="555" t="str">
        <f>IF(Contents!$B$2=2,"No","Нет")</f>
        <v>Нет</v>
      </c>
      <c r="M95" s="472"/>
    </row>
    <row r="96" spans="2:13" s="17" customFormat="1" ht="22.5" customHeight="1">
      <c r="B96" s="25" t="str">
        <f>IF(Contents!$B$2=2,"Share of natural gas reserves","Доля запасов природного газа")</f>
        <v>Доля запасов природного газа</v>
      </c>
      <c r="C96" s="223" t="s">
        <v>0</v>
      </c>
      <c r="D96" s="157">
        <v>90.7</v>
      </c>
      <c r="E96" s="157">
        <v>90.2</v>
      </c>
      <c r="F96" s="157">
        <v>89.8</v>
      </c>
      <c r="G96" s="157">
        <v>89.7</v>
      </c>
      <c r="H96" s="158">
        <v>90.1</v>
      </c>
      <c r="I96" s="543"/>
      <c r="J96" s="198"/>
      <c r="K96" s="233"/>
      <c r="L96" s="555" t="str">
        <f>IF(Contents!$B$2=2,"Yes","Да")</f>
        <v>Да</v>
      </c>
      <c r="M96" s="472"/>
    </row>
    <row r="97" spans="2:13" s="17" customFormat="1" ht="22.5" customHeight="1">
      <c r="B97" s="25" t="str">
        <f>IF(Contents!$B$2=2,"Share of liquids reserves","Доля запасов жидких углеводородов")</f>
        <v>Доля запасов жидких углеводородов</v>
      </c>
      <c r="C97" s="223" t="s">
        <v>0</v>
      </c>
      <c r="D97" s="165">
        <f>100-D96</f>
        <v>9.299999999999997</v>
      </c>
      <c r="E97" s="165">
        <f>100-E96</f>
        <v>9.799999999999997</v>
      </c>
      <c r="F97" s="165">
        <f>100-F96</f>
        <v>10.200000000000003</v>
      </c>
      <c r="G97" s="165">
        <f>100-G96</f>
        <v>10.299999999999997</v>
      </c>
      <c r="H97" s="158">
        <v>9.9</v>
      </c>
      <c r="I97" s="543"/>
      <c r="J97" s="198"/>
      <c r="K97" s="233"/>
      <c r="L97" s="555" t="str">
        <f>IF(Contents!$B$2=2,"Yes","Да")</f>
        <v>Да</v>
      </c>
      <c r="M97" s="472"/>
    </row>
    <row r="98" spans="2:13" s="17" customFormat="1" ht="22.5" customHeight="1">
      <c r="B98" s="129" t="str">
        <f>IF(Contents!$B$2=2,"by type of operations or location","по типу операций или месту расположения")</f>
        <v>по типу операций или месту расположения</v>
      </c>
      <c r="C98" s="222"/>
      <c r="D98" s="166"/>
      <c r="E98" s="166"/>
      <c r="F98" s="166"/>
      <c r="G98" s="167"/>
      <c r="H98" s="167"/>
      <c r="I98" s="538"/>
      <c r="J98" s="201"/>
      <c r="K98" s="234"/>
      <c r="L98" s="556"/>
      <c r="M98" s="472"/>
    </row>
    <row r="99" spans="2:13" s="17" customFormat="1" ht="22.5" customHeight="1">
      <c r="B99" s="127" t="str">
        <f>IF(Contents!$B$2=2,"Arctic","Арктика")</f>
        <v>Арктика</v>
      </c>
      <c r="C99" s="221" t="str">
        <f>IF(Contents!$B$2=2,"million boe","млн бнэ")</f>
        <v>млн бнэ</v>
      </c>
      <c r="D99" s="160" t="s">
        <v>12</v>
      </c>
      <c r="E99" s="160" t="s">
        <v>12</v>
      </c>
      <c r="F99" s="160" t="s">
        <v>12</v>
      </c>
      <c r="G99" s="160" t="s">
        <v>12</v>
      </c>
      <c r="H99" s="171">
        <v>16388</v>
      </c>
      <c r="I99" s="541"/>
      <c r="J99" s="198"/>
      <c r="K99" s="233"/>
      <c r="L99" s="555" t="str">
        <f>IF(Contents!$B$2=2,"No","Нет")</f>
        <v>Нет</v>
      </c>
      <c r="M99" s="472"/>
    </row>
    <row r="100" spans="2:13" ht="22.5" customHeight="1">
      <c r="B100" s="127" t="str">
        <f>IF(Contents!$B$2=2,"Located close to protected areas or to habitats of endangered species","Вблизи охраняемых территорий или мест обитания исчезающих видов")</f>
        <v>Вблизи охраняемых территорий или мест обитания исчезающих видов</v>
      </c>
      <c r="C100" s="221" t="str">
        <f>IF(Contents!$B$2=2,"million boe","млн бнэ")</f>
        <v>млн бнэ</v>
      </c>
      <c r="D100" s="160" t="s">
        <v>12</v>
      </c>
      <c r="E100" s="160" t="s">
        <v>12</v>
      </c>
      <c r="F100" s="160" t="s">
        <v>12</v>
      </c>
      <c r="G100" s="160" t="s">
        <v>12</v>
      </c>
      <c r="H100" s="153">
        <v>142</v>
      </c>
      <c r="I100" s="538"/>
      <c r="J100" s="198"/>
      <c r="K100" s="233"/>
      <c r="L100" s="555" t="str">
        <f>IF(Contents!$B$2=2,"No","Нет")</f>
        <v>Нет</v>
      </c>
      <c r="M100" s="473"/>
    </row>
    <row r="101" spans="2:13" ht="22.5" customHeight="1">
      <c r="B101" s="127" t="str">
        <f>IF(Contents!$B$2=2,"Number of license areas in the transit zone (land/water area)","В прибрежной территории")</f>
        <v>В прибрежной территории</v>
      </c>
      <c r="C101" s="221" t="str">
        <f>IF(Contents!$B$2=2,"million boe","млн бнэ")</f>
        <v>млн бнэ</v>
      </c>
      <c r="D101" s="160" t="s">
        <v>12</v>
      </c>
      <c r="E101" s="160" t="s">
        <v>12</v>
      </c>
      <c r="F101" s="160" t="s">
        <v>12</v>
      </c>
      <c r="G101" s="160" t="s">
        <v>12</v>
      </c>
      <c r="H101" s="171">
        <v>7379</v>
      </c>
      <c r="I101" s="541"/>
      <c r="J101" s="198"/>
      <c r="K101" s="233"/>
      <c r="L101" s="555" t="str">
        <f>IF(Contents!$B$2=2,"No","Нет")</f>
        <v>Нет</v>
      </c>
      <c r="M101" s="473"/>
    </row>
    <row r="102" spans="2:13" ht="22.5" customHeight="1">
      <c r="B102" s="128" t="str">
        <f>IF(Contents!$B$2=2,"In water areas","В акваториях")</f>
        <v>В акваториях</v>
      </c>
      <c r="C102" s="221" t="str">
        <f>IF(Contents!$B$2=2,"million boe","млн бнэ")</f>
        <v>млн бнэ</v>
      </c>
      <c r="D102" s="160" t="s">
        <v>12</v>
      </c>
      <c r="E102" s="160" t="s">
        <v>12</v>
      </c>
      <c r="F102" s="160" t="s">
        <v>12</v>
      </c>
      <c r="G102" s="160" t="s">
        <v>12</v>
      </c>
      <c r="H102" s="153">
        <v>0</v>
      </c>
      <c r="I102" s="538"/>
      <c r="J102" s="198"/>
      <c r="K102" s="233"/>
      <c r="L102" s="555" t="str">
        <f>IF(Contents!$B$2=2,"No","Нет")</f>
        <v>Нет</v>
      </c>
      <c r="M102" s="473"/>
    </row>
    <row r="103" spans="2:13" ht="22.5" customHeight="1">
      <c r="B103" s="127" t="str">
        <f>IF(Contents!$B$2=2,"Deep-water","Глубоководье")</f>
        <v>Глубоководье</v>
      </c>
      <c r="C103" s="221" t="str">
        <f>IF(Contents!$B$2=2,"million boe","млн бнэ")</f>
        <v>млн бнэ</v>
      </c>
      <c r="D103" s="160" t="s">
        <v>12</v>
      </c>
      <c r="E103" s="160" t="s">
        <v>12</v>
      </c>
      <c r="F103" s="160" t="s">
        <v>12</v>
      </c>
      <c r="G103" s="160" t="s">
        <v>12</v>
      </c>
      <c r="H103" s="153">
        <v>0</v>
      </c>
      <c r="I103" s="538"/>
      <c r="J103" s="198"/>
      <c r="K103" s="233"/>
      <c r="L103" s="555" t="str">
        <f>IF(Contents!$B$2=2,"No","Нет")</f>
        <v>Нет</v>
      </c>
      <c r="M103" s="473"/>
    </row>
    <row r="104" spans="2:13" ht="22.5" customHeight="1">
      <c r="B104" s="69" t="str">
        <f>IF(Contents!$B$2=2,"Number of license areas in water areas","Количество лицензионных участков в акваториях")</f>
        <v>Количество лицензионных участков в акваториях</v>
      </c>
      <c r="C104" s="221" t="s">
        <v>6</v>
      </c>
      <c r="D104" s="152" t="s">
        <v>12</v>
      </c>
      <c r="E104" s="152" t="s">
        <v>12</v>
      </c>
      <c r="F104" s="152" t="s">
        <v>12</v>
      </c>
      <c r="G104" s="152" t="s">
        <v>12</v>
      </c>
      <c r="H104" s="153">
        <v>3</v>
      </c>
      <c r="I104" s="538"/>
      <c r="J104" s="200"/>
      <c r="K104" s="233"/>
      <c r="L104" s="555" t="str">
        <f>IF(Contents!$B$2=2,"No","Нет")</f>
        <v>Нет</v>
      </c>
      <c r="M104" s="473"/>
    </row>
    <row r="105" spans="2:13" ht="22.5" customHeight="1">
      <c r="B105" s="69" t="str">
        <f>IF(Contents!$B$2=2,"Number of license areas in the transit zone (land/water area)","Количество лицензионных участков в прибрежной территории")</f>
        <v>Количество лицензионных участков в прибрежной территории</v>
      </c>
      <c r="C105" s="221" t="s">
        <v>6</v>
      </c>
      <c r="D105" s="152" t="s">
        <v>12</v>
      </c>
      <c r="E105" s="152" t="s">
        <v>12</v>
      </c>
      <c r="F105" s="152" t="s">
        <v>12</v>
      </c>
      <c r="G105" s="152" t="s">
        <v>12</v>
      </c>
      <c r="H105" s="153">
        <v>8</v>
      </c>
      <c r="I105" s="538"/>
      <c r="J105" s="200"/>
      <c r="K105" s="233"/>
      <c r="L105" s="555" t="str">
        <f>IF(Contents!$B$2=2,"No","Нет")</f>
        <v>Нет</v>
      </c>
      <c r="M105" s="473"/>
    </row>
    <row r="106" spans="12:13" ht="22.5" customHeight="1">
      <c r="L106" s="523"/>
      <c r="M106" s="473"/>
    </row>
    <row r="107" spans="2:13" ht="39.75" customHeight="1">
      <c r="B107" s="20" t="str">
        <f>IF(Contents!$B$2=2,"EMISSIONS AND WASTE","ВЫБРОСЫ И ОТХОДЫ")</f>
        <v>ВЫБРОСЫ И ОТХОДЫ</v>
      </c>
      <c r="C107" s="218"/>
      <c r="D107" s="140"/>
      <c r="E107" s="140"/>
      <c r="F107" s="140"/>
      <c r="G107" s="141"/>
      <c r="H107" s="260"/>
      <c r="I107" s="566"/>
      <c r="J107" s="199"/>
      <c r="K107" s="197"/>
      <c r="L107" s="550"/>
      <c r="M107" s="240"/>
    </row>
    <row r="108" spans="2:13" ht="20.25" customHeight="1">
      <c r="B108" s="79"/>
      <c r="C108" s="220"/>
      <c r="D108" s="142"/>
      <c r="E108" s="142"/>
      <c r="F108" s="142"/>
      <c r="G108" s="143"/>
      <c r="H108" s="282"/>
      <c r="I108" s="566"/>
      <c r="J108" s="283"/>
      <c r="K108" s="284"/>
      <c r="L108" s="567"/>
      <c r="M108" s="240"/>
    </row>
    <row r="109" spans="2:13" ht="39.75" customHeight="1">
      <c r="B109" s="253" t="str">
        <f>IF(Contents!$B$2=2,"Methane emissions","Выбросы метана")</f>
        <v>Выбросы метана</v>
      </c>
      <c r="C109" s="243" t="str">
        <f>IF(Contents!$A$2=2,"t of CH4","т CH4")</f>
        <v>т CH4</v>
      </c>
      <c r="D109" s="256">
        <v>7239</v>
      </c>
      <c r="E109" s="256">
        <v>7265</v>
      </c>
      <c r="F109" s="256">
        <v>6160</v>
      </c>
      <c r="G109" s="256">
        <v>8886</v>
      </c>
      <c r="H109" s="256">
        <v>8155</v>
      </c>
      <c r="I109" s="564"/>
      <c r="J109" s="257"/>
      <c r="K109" s="248" t="str">
        <f>IF(Contents!$B$2=2,"Yes","Да")</f>
        <v>Да</v>
      </c>
      <c r="L109" s="562" t="str">
        <f>IF(Contents!$B$2=2,"Yes","Да")</f>
        <v>Да</v>
      </c>
      <c r="M109" s="473"/>
    </row>
    <row r="110" spans="2:13" ht="22.5" customHeight="1">
      <c r="B110" s="129" t="str">
        <f>IF(Contents!$B$2=2,"by facilities","по сегментам")</f>
        <v>по сегментам</v>
      </c>
      <c r="C110" s="222"/>
      <c r="D110" s="35"/>
      <c r="E110" s="35"/>
      <c r="F110" s="35"/>
      <c r="G110" s="159"/>
      <c r="H110" s="38"/>
      <c r="I110" s="592"/>
      <c r="J110" s="201"/>
      <c r="K110" s="234"/>
      <c r="L110" s="556"/>
      <c r="M110" s="473"/>
    </row>
    <row r="111" spans="2:13" ht="22.5" customHeight="1">
      <c r="B111" s="126" t="str">
        <f>IF(Contents!$B$2=2,"Production / Upstream facilities","Предприятия добычи")</f>
        <v>Предприятия добычи</v>
      </c>
      <c r="C111" s="221" t="str">
        <f>IF(Contents!$A$2=2,"t of CH4","т CH4")</f>
        <v>т CH4</v>
      </c>
      <c r="D111" s="160">
        <v>7126</v>
      </c>
      <c r="E111" s="160">
        <v>7163</v>
      </c>
      <c r="F111" s="160">
        <v>5913</v>
      </c>
      <c r="G111" s="161">
        <v>8391</v>
      </c>
      <c r="H111" s="162">
        <v>7515</v>
      </c>
      <c r="I111" s="564"/>
      <c r="J111" s="204"/>
      <c r="K111" s="233" t="str">
        <f>IF(Contents!$B$2=2,"Yes","Да")</f>
        <v>Да</v>
      </c>
      <c r="L111" s="555" t="str">
        <f>IF(Contents!$B$2=2,"Yes","Да")</f>
        <v>Да</v>
      </c>
      <c r="M111" s="473"/>
    </row>
    <row r="112" spans="2:13" ht="22.5" customHeight="1">
      <c r="B112" s="126" t="str">
        <f>IF(Contents!$B$2=2,"Processing / Downstream facilities","Предприятия переработки")</f>
        <v>Предприятия переработки</v>
      </c>
      <c r="C112" s="221" t="str">
        <f>IF(Contents!$A$2=2,"t of CH4","т CH4")</f>
        <v>т CH4</v>
      </c>
      <c r="D112" s="163">
        <v>113</v>
      </c>
      <c r="E112" s="163">
        <v>102</v>
      </c>
      <c r="F112" s="163">
        <v>88</v>
      </c>
      <c r="G112" s="152">
        <v>84</v>
      </c>
      <c r="H112" s="162">
        <v>81</v>
      </c>
      <c r="I112" s="564"/>
      <c r="J112" s="204"/>
      <c r="K112" s="233" t="str">
        <f>IF(Contents!$B$2=2,"Yes","Да")</f>
        <v>Да</v>
      </c>
      <c r="L112" s="555" t="str">
        <f>IF(Contents!$B$2=2,"Yes","Да")</f>
        <v>Да</v>
      </c>
      <c r="M112" s="473"/>
    </row>
    <row r="113" spans="2:13" ht="22.5" customHeight="1">
      <c r="B113" s="126" t="str">
        <f>IF(Contents!$B$2=2,"LNG production facilities","Производство СПГ")</f>
        <v>Производство СПГ</v>
      </c>
      <c r="C113" s="221" t="str">
        <f>IF(Contents!$A$2=2,"t of CH4","т CH4")</f>
        <v>т CH4</v>
      </c>
      <c r="D113" s="160" t="s">
        <v>12</v>
      </c>
      <c r="E113" s="160" t="s">
        <v>12</v>
      </c>
      <c r="F113" s="160">
        <v>159</v>
      </c>
      <c r="G113" s="161">
        <v>270</v>
      </c>
      <c r="H113" s="162">
        <v>479</v>
      </c>
      <c r="I113" s="564"/>
      <c r="J113" s="204"/>
      <c r="K113" s="233" t="str">
        <f>IF(Contents!$B$2=2,"Yes","Да")</f>
        <v>Да</v>
      </c>
      <c r="L113" s="555" t="str">
        <f>IF(Contents!$B$2=2,"Yes","Да")</f>
        <v>Да</v>
      </c>
      <c r="M113" s="473"/>
    </row>
    <row r="114" spans="2:13" ht="22.5" customHeight="1">
      <c r="B114" s="126" t="str">
        <f>IF(Contents!$B$2=2,"Energy service facilities","Предприятия энергосервиса")</f>
        <v>Предприятия энергосервиса</v>
      </c>
      <c r="C114" s="221" t="str">
        <f>IF(Contents!$A$2=2,"t of CH4","т CH4")</f>
        <v>т CH4</v>
      </c>
      <c r="D114" s="163"/>
      <c r="E114" s="163"/>
      <c r="F114" s="163"/>
      <c r="G114" s="152">
        <v>141</v>
      </c>
      <c r="H114" s="162">
        <v>80</v>
      </c>
      <c r="I114" s="564"/>
      <c r="J114" s="204"/>
      <c r="K114" s="233"/>
      <c r="L114" s="555" t="str">
        <f>IF(Contents!$B$2=2,"Yes","Да")</f>
        <v>Да</v>
      </c>
      <c r="M114" s="473"/>
    </row>
    <row r="115" spans="2:13" ht="22.5" customHeight="1">
      <c r="B115" s="275" t="str">
        <f>IF(Contents!$B$2=2,"Specific methane emissions","Удельные выбросы метана")</f>
        <v>Удельные выбросы метана</v>
      </c>
      <c r="C115" s="222"/>
      <c r="D115" s="144"/>
      <c r="E115" s="155"/>
      <c r="F115" s="155"/>
      <c r="G115" s="164"/>
      <c r="H115" s="164"/>
      <c r="I115" s="547"/>
      <c r="J115" s="205"/>
      <c r="K115" s="234"/>
      <c r="L115" s="556"/>
      <c r="M115" s="473"/>
    </row>
    <row r="116" spans="2:13" ht="22.5" customHeight="1">
      <c r="B116" s="123" t="str">
        <f>IF(Contents!$B$2=2,"Production, processing and LNG facilities","Предприятия добычи, переработки и производства СПГ")</f>
        <v>Предприятия добычи, переработки и производства СПГ</v>
      </c>
      <c r="C116" s="221" t="str">
        <f>IF(Contents!$A$2=2,"t of CH4 per million boe","т CH4 на млн бнэ")</f>
        <v>т CH4 на млн бнэ</v>
      </c>
      <c r="D116" s="145">
        <v>14.1</v>
      </c>
      <c r="E116" s="268">
        <v>13.6</v>
      </c>
      <c r="F116" s="268">
        <v>10.44</v>
      </c>
      <c r="G116" s="188">
        <v>14.44</v>
      </c>
      <c r="H116" s="270">
        <v>12.89</v>
      </c>
      <c r="I116" s="535"/>
      <c r="J116" s="200"/>
      <c r="K116" s="233" t="str">
        <f>IF(Contents!$B$2=2,"Yes","Да")</f>
        <v>Да</v>
      </c>
      <c r="L116" s="555" t="str">
        <f>IF(Contents!$B$2=2,"Yes","Да")</f>
        <v>Да</v>
      </c>
      <c r="M116" s="240" t="str">
        <f>IF(Contents!$B$2=2,"Specific methane emission is calculated as total CH4 emissions per production/processing volumes in corresponding business segment, including the Company's share in JVs.","Показатель удельного выброса метана рассчитывается как суммарные выбросы метана (СН4) в расчете на объем производства/переработки в соответствующем бизнес-сегменте, включая долю Компании в совместных предприятиях.")</f>
        <v>Показатель удельного выброса метана рассчитывается как суммарные выбросы метана (СН4) в расчете на объем производства/переработки в соответствующем бизнес-сегменте, включая долю Компании в совместных предприятиях.</v>
      </c>
    </row>
    <row r="117" spans="2:13" ht="22.5" customHeight="1" hidden="1">
      <c r="B117" s="39" t="str">
        <f>IF(Contents!$B$2=2,"Methane intensity ","Интенсивность выбросов метана")</f>
        <v>Интенсивность выбросов метана</v>
      </c>
      <c r="C117" s="224"/>
      <c r="D117" s="258"/>
      <c r="E117" s="258"/>
      <c r="F117" s="258"/>
      <c r="G117" s="258"/>
      <c r="H117" s="258"/>
      <c r="I117" s="593"/>
      <c r="J117" s="201"/>
      <c r="K117" s="234"/>
      <c r="L117" s="556"/>
      <c r="M117" s="473"/>
    </row>
    <row r="118" spans="2:13" ht="22.5" customHeight="1" hidden="1">
      <c r="B118" s="125" t="str">
        <f>IF(Contents!$B$2=2,"Methane emissions per natural gas sales","Выбросы метана на реализацию газа")</f>
        <v>Выбросы метана на реализацию газа</v>
      </c>
      <c r="C118" s="223" t="str">
        <f>IF(Contents!$B$2=2,"cm of methane emissions per cm of natural gas sales","куб. м выбросов метана на кубометр продаж природного газа")</f>
        <v>куб. м выбросов метана на кубометр продаж природного газа</v>
      </c>
      <c r="D118" s="364">
        <f>(D119*1000000)/(Other!F25*1000000000)*100%</f>
        <v>0.00015553404706680705</v>
      </c>
      <c r="E118" s="364">
        <f>(E119*1000000)/(Other!G25*1000000000)*100%</f>
        <v>0.00014066387618450022</v>
      </c>
      <c r="F118" s="364">
        <f>(F119*1000000)/(Other!H25*1000000000)*100%</f>
        <v>0.00010966389582556549</v>
      </c>
      <c r="G118" s="364">
        <f>(G119*1000000)/(Other!I25*1000000000)*100%</f>
        <v>0.00016411815029277523</v>
      </c>
      <c r="H118" s="365">
        <f>(H119*1000000)/(Other!J25*1000000000)*100%</f>
        <v>0.00015022573834983278</v>
      </c>
      <c r="I118" s="594"/>
      <c r="J118" s="200"/>
      <c r="K118" s="233" t="str">
        <f>IF(Contents!$B$2=2,"Yes","Да")</f>
        <v>Да</v>
      </c>
      <c r="L118" s="555" t="s">
        <v>16</v>
      </c>
      <c r="M118" s="240" t="str">
        <f>IF(Contents!$B$2=2,"OGCI methodology https://www.ogci.com/wp-content/uploads/2020/10/OGCI-Reporting-Framework-3.3-October-2020.pdf.","Методология OGCI https://www.ogci.com/wp-content/uploads/2020/10/OGCI-Reporting-Framework-3.3-October-2020.pdf.")</f>
        <v>Методология OGCI https://www.ogci.com/wp-content/uploads/2020/10/OGCI-Reporting-Framework-3.3-October-2020.pdf.</v>
      </c>
    </row>
    <row r="119" spans="1:13" ht="22.5" customHeight="1" hidden="1">
      <c r="A119" s="274"/>
      <c r="B119" s="69" t="str">
        <f>IF(Contents!$B$2=2,"Methane emissions","Выбросы метана")</f>
        <v>Выбросы метана</v>
      </c>
      <c r="C119" s="221" t="str">
        <f>IF(Contents!$B$2=2,"thousand cm","тыс. куб. м")</f>
        <v>тыс. куб. м</v>
      </c>
      <c r="D119" s="165">
        <f>D109/0.716/1000</f>
        <v>10.110335195530727</v>
      </c>
      <c r="E119" s="165">
        <f>E109/0.716/1000</f>
        <v>10.146648044692737</v>
      </c>
      <c r="F119" s="165">
        <f>F109/0.716/1000</f>
        <v>8.603351955307264</v>
      </c>
      <c r="G119" s="165">
        <f>G109/0.716/1000</f>
        <v>12.410614525139664</v>
      </c>
      <c r="H119" s="158">
        <f>H109/0.716/1000</f>
        <v>11.389664804469273</v>
      </c>
      <c r="I119" s="543"/>
      <c r="J119" s="200"/>
      <c r="K119" s="233" t="str">
        <f>IF(Contents!$B$2=2,"Yes","Да")</f>
        <v>Да</v>
      </c>
      <c r="L119" s="555" t="s">
        <v>16</v>
      </c>
      <c r="M119" s="473"/>
    </row>
    <row r="120" spans="2:13" ht="22.5" customHeight="1">
      <c r="B120" s="39" t="str">
        <f>IF(Contents!$B$2=2,"APG utilization rate","Рациональное использование ПНГ")</f>
        <v>Рациональное использование ПНГ</v>
      </c>
      <c r="C120" s="222" t="s">
        <v>0</v>
      </c>
      <c r="D120" s="300">
        <v>96.9</v>
      </c>
      <c r="E120" s="300">
        <v>97.1</v>
      </c>
      <c r="F120" s="300">
        <v>83.3</v>
      </c>
      <c r="G120" s="300">
        <v>96.2</v>
      </c>
      <c r="H120" s="300">
        <v>96.7</v>
      </c>
      <c r="I120" s="539"/>
      <c r="J120" s="201"/>
      <c r="K120" s="234" t="str">
        <f>IF(Contents!$B$2=2,"Yes","Да")</f>
        <v>Да</v>
      </c>
      <c r="L120" s="556" t="str">
        <f>IF(Contents!$B$2=2,"Yes","Да")</f>
        <v>Да</v>
      </c>
      <c r="M120" s="473"/>
    </row>
    <row r="121" spans="2:13" ht="22.5" customHeight="1">
      <c r="B121" s="69" t="str">
        <f>IF(Contents!$B$2=2,"Gas flaring","Сжигание попутного нефтяного газа")</f>
        <v>Сжигание попутного нефтяного газа</v>
      </c>
      <c r="C121" s="221" t="str">
        <f>IF(Contents!$B$2=2,"million cm","млн куб. м")</f>
        <v>млн куб. м</v>
      </c>
      <c r="D121" s="148" t="s">
        <v>12</v>
      </c>
      <c r="E121" s="148" t="s">
        <v>12</v>
      </c>
      <c r="F121" s="148" t="s">
        <v>12</v>
      </c>
      <c r="G121" s="148" t="s">
        <v>12</v>
      </c>
      <c r="H121" s="156">
        <v>204</v>
      </c>
      <c r="I121" s="588"/>
      <c r="J121" s="200" t="s">
        <v>37</v>
      </c>
      <c r="K121" s="233" t="str">
        <f>IF(Contents!$B$2=2,"Yes","Да")</f>
        <v>Да</v>
      </c>
      <c r="L121" s="555" t="str">
        <f>IF(Contents!$B$2=2,"No","Нет")</f>
        <v>Нет</v>
      </c>
      <c r="M121" s="473"/>
    </row>
    <row r="122" spans="2:13" ht="22.5" customHeight="1">
      <c r="B122" s="125" t="str">
        <f>IF(Contents!$B$2=2,"Gas flaring intensity","Интенсивность сжигания попутного нефтяного газа")</f>
        <v>Интенсивность сжигания попутного нефтяного газа</v>
      </c>
      <c r="C122" s="221" t="str">
        <f>IF(Contents!$B$2=2,"kg per million boe","кг на млн бнэ")</f>
        <v>кг на млн бнэ</v>
      </c>
      <c r="D122" s="148" t="s">
        <v>12</v>
      </c>
      <c r="E122" s="148" t="s">
        <v>12</v>
      </c>
      <c r="F122" s="148" t="s">
        <v>12</v>
      </c>
      <c r="G122" s="148" t="s">
        <v>12</v>
      </c>
      <c r="H122" s="156">
        <v>293.2</v>
      </c>
      <c r="I122" s="588"/>
      <c r="J122" s="200" t="s">
        <v>37</v>
      </c>
      <c r="K122" s="233" t="str">
        <f>IF(Contents!$B$2=2,"Yes","Да")</f>
        <v>Да</v>
      </c>
      <c r="L122" s="555" t="str">
        <f>IF(Contents!$B$2=2,"No","Нет")</f>
        <v>Нет</v>
      </c>
      <c r="M122" s="240" t="str">
        <f>IF(Contents!$B$2=2,"Gas flaring intensity is calculated as gas flaring volumes in kg per production volumes in kboe, including the Company's share in JV's.","Интенсивность сжигания попутного газа рассчитывается как объем сжигаемого газа в кг на объем добычи в тыс. бнэ, включая долю Компании в совместных предприятиях. ")</f>
        <v>Интенсивность сжигания попутного газа рассчитывается как объем сжигаемого газа в кг на объем добычи в тыс. бнэ, включая долю Компании в совместных предприятиях. </v>
      </c>
    </row>
    <row r="123" spans="2:13" ht="39.75" customHeight="1">
      <c r="B123" s="253" t="str">
        <f>IF(Contents!$B$2=2,"Air emissions","Выбросы в атмосферу")</f>
        <v>Выбросы в атмосферу</v>
      </c>
      <c r="C123" s="243" t="str">
        <f>IF(Contents!$B$2=2,"t","т")</f>
        <v>т</v>
      </c>
      <c r="D123" s="262">
        <v>91950</v>
      </c>
      <c r="E123" s="262">
        <v>70302</v>
      </c>
      <c r="F123" s="262">
        <v>75603</v>
      </c>
      <c r="G123" s="263">
        <v>87273</v>
      </c>
      <c r="H123" s="263">
        <v>82382</v>
      </c>
      <c r="I123" s="541"/>
      <c r="J123" s="247" t="s">
        <v>33</v>
      </c>
      <c r="K123" s="248" t="str">
        <f>IF(Contents!$B$2=2,"Yes","Да")</f>
        <v>Да</v>
      </c>
      <c r="L123" s="562" t="str">
        <f>IF(Contents!$B$2=2,"Yes","Да")</f>
        <v>Да</v>
      </c>
      <c r="M123" s="473"/>
    </row>
    <row r="124" spans="2:13" ht="22.5" customHeight="1">
      <c r="B124" s="129" t="str">
        <f>IF(Contents!$B$2=2,"by air emission type","по виду выбрасываемых веществ")</f>
        <v>по виду выбрасываемых веществ</v>
      </c>
      <c r="C124" s="222"/>
      <c r="D124" s="168"/>
      <c r="E124" s="168"/>
      <c r="F124" s="168"/>
      <c r="G124" s="169"/>
      <c r="H124" s="169"/>
      <c r="I124" s="541"/>
      <c r="J124" s="201"/>
      <c r="K124" s="234"/>
      <c r="L124" s="556"/>
      <c r="M124" s="473"/>
    </row>
    <row r="125" spans="2:13" ht="22.5" customHeight="1">
      <c r="B125" s="127" t="str">
        <f>IF(Contents!$B$2=2,"Particulate matter","Твердые вещества")</f>
        <v>Твердые вещества</v>
      </c>
      <c r="C125" s="221" t="str">
        <f>IF(Contents!$B$2=2,"t","т")</f>
        <v>т</v>
      </c>
      <c r="D125" s="170">
        <v>6788</v>
      </c>
      <c r="E125" s="170">
        <v>3874</v>
      </c>
      <c r="F125" s="170">
        <v>2697</v>
      </c>
      <c r="G125" s="161">
        <v>5590</v>
      </c>
      <c r="H125" s="171">
        <v>4130</v>
      </c>
      <c r="I125" s="541"/>
      <c r="J125" s="206"/>
      <c r="K125" s="233" t="str">
        <f>IF(Contents!$B$2=2,"Yes","Да")</f>
        <v>Да</v>
      </c>
      <c r="L125" s="555" t="str">
        <f>IF(Contents!$B$2=2,"Yes","Да")</f>
        <v>Да</v>
      </c>
      <c r="M125" s="473"/>
    </row>
    <row r="126" spans="2:13" ht="22.5" customHeight="1">
      <c r="B126" s="127" t="str">
        <f>IF(Contents!$B$2=2,"Carbon monoxide","Оксид углерода")</f>
        <v>Оксид углерода</v>
      </c>
      <c r="C126" s="221" t="str">
        <f>IF(Contents!$B$2=2,"t","т")</f>
        <v>т</v>
      </c>
      <c r="D126" s="170">
        <v>56705</v>
      </c>
      <c r="E126" s="170">
        <v>37387</v>
      </c>
      <c r="F126" s="170">
        <v>40059</v>
      </c>
      <c r="G126" s="161">
        <f>48114+1</f>
        <v>48115</v>
      </c>
      <c r="H126" s="171">
        <v>43732</v>
      </c>
      <c r="I126" s="541"/>
      <c r="J126" s="204"/>
      <c r="K126" s="233" t="str">
        <f>IF(Contents!$B$2=2,"Yes","Да")</f>
        <v>Да</v>
      </c>
      <c r="L126" s="555" t="str">
        <f>IF(Contents!$B$2=2,"Yes","Да")</f>
        <v>Да</v>
      </c>
      <c r="M126" s="473"/>
    </row>
    <row r="127" spans="2:13" ht="22.5" customHeight="1">
      <c r="B127" s="127" t="str">
        <f>IF(Contents!$B$2=2,"NOx (as NO2 equivalent)","Оксиды азота (в пересчете на NO2)")</f>
        <v>Оксиды азота (в пересчете на NO2)</v>
      </c>
      <c r="C127" s="221" t="str">
        <f>IF(Contents!$B$2=2,"t","т")</f>
        <v>т</v>
      </c>
      <c r="D127" s="170">
        <v>8483</v>
      </c>
      <c r="E127" s="170">
        <v>8467</v>
      </c>
      <c r="F127" s="170">
        <v>13296</v>
      </c>
      <c r="G127" s="161">
        <v>11083</v>
      </c>
      <c r="H127" s="171">
        <v>13990</v>
      </c>
      <c r="I127" s="541"/>
      <c r="J127" s="204"/>
      <c r="K127" s="233" t="str">
        <f>IF(Contents!$B$2=2,"Yes","Да")</f>
        <v>Да</v>
      </c>
      <c r="L127" s="555" t="str">
        <f>IF(Contents!$B$2=2,"Yes","Да")</f>
        <v>Да</v>
      </c>
      <c r="M127" s="473"/>
    </row>
    <row r="128" spans="2:13" ht="22.5" customHeight="1">
      <c r="B128" s="127" t="str">
        <f>IF(Contents!$B$2=2,"SOx (SO2 emissions)","Диоксид серы (выбросы SO2)")</f>
        <v>Диоксид серы (выбросы SO2)</v>
      </c>
      <c r="C128" s="221" t="str">
        <f>IF(Contents!$B$2=2,"t","т")</f>
        <v>т</v>
      </c>
      <c r="D128" s="170">
        <v>21</v>
      </c>
      <c r="E128" s="170">
        <v>28</v>
      </c>
      <c r="F128" s="170">
        <v>62</v>
      </c>
      <c r="G128" s="152">
        <v>77</v>
      </c>
      <c r="H128" s="171">
        <v>76</v>
      </c>
      <c r="I128" s="541"/>
      <c r="J128" s="204"/>
      <c r="K128" s="233" t="str">
        <f>IF(Contents!$B$2=2,"Yes","Да")</f>
        <v>Да</v>
      </c>
      <c r="L128" s="555" t="str">
        <f>IF(Contents!$B$2=2,"Yes","Да")</f>
        <v>Да</v>
      </c>
      <c r="M128" s="473"/>
    </row>
    <row r="129" spans="2:13" ht="22.5" customHeight="1">
      <c r="B129" s="127" t="str">
        <f>IF(Contents!$B$2=2,"Hydrocarbons (incl. methane)","Углеводороды (включая метан)")</f>
        <v>Углеводороды (включая метан)</v>
      </c>
      <c r="C129" s="221" t="str">
        <f>IF(Contents!$B$2=2,"t","т")</f>
        <v>т</v>
      </c>
      <c r="D129" s="170">
        <v>7511</v>
      </c>
      <c r="E129" s="170">
        <v>7677</v>
      </c>
      <c r="F129" s="170">
        <v>6166</v>
      </c>
      <c r="G129" s="161">
        <v>8910</v>
      </c>
      <c r="H129" s="171">
        <v>9635</v>
      </c>
      <c r="I129" s="541"/>
      <c r="J129" s="204"/>
      <c r="K129" s="233" t="str">
        <f>IF(Contents!$B$2=2,"Yes","Да")</f>
        <v>Да</v>
      </c>
      <c r="L129" s="555" t="str">
        <f>IF(Contents!$B$2=2,"Yes","Да")</f>
        <v>Да</v>
      </c>
      <c r="M129" s="473"/>
    </row>
    <row r="130" spans="2:13" ht="22.5" customHeight="1">
      <c r="B130" s="127" t="str">
        <f>IF(Contents!$B$2=2,"VOCs","ЛОС")</f>
        <v>ЛОС</v>
      </c>
      <c r="C130" s="221" t="str">
        <f>IF(Contents!$B$2=2,"t","т")</f>
        <v>т</v>
      </c>
      <c r="D130" s="170">
        <v>12426</v>
      </c>
      <c r="E130" s="170">
        <v>12852</v>
      </c>
      <c r="F130" s="170">
        <v>13258</v>
      </c>
      <c r="G130" s="161">
        <v>13418</v>
      </c>
      <c r="H130" s="171">
        <v>10791</v>
      </c>
      <c r="I130" s="541"/>
      <c r="J130" s="204"/>
      <c r="K130" s="233" t="str">
        <f>IF(Contents!$B$2=2,"Yes","Да")</f>
        <v>Да</v>
      </c>
      <c r="L130" s="555" t="str">
        <f>IF(Contents!$B$2=2,"Yes","Да")</f>
        <v>Да</v>
      </c>
      <c r="M130" s="473"/>
    </row>
    <row r="131" spans="2:13" ht="22.5" customHeight="1">
      <c r="B131" s="127" t="str">
        <f>IF(Contents!$B$2=2,"Other","Прочие")</f>
        <v>Прочие</v>
      </c>
      <c r="C131" s="221" t="str">
        <f>IF(Contents!$B$2=2,"t","т")</f>
        <v>т</v>
      </c>
      <c r="D131" s="170">
        <v>16</v>
      </c>
      <c r="E131" s="170">
        <v>18</v>
      </c>
      <c r="F131" s="170">
        <v>65</v>
      </c>
      <c r="G131" s="152">
        <v>80</v>
      </c>
      <c r="H131" s="171">
        <v>28</v>
      </c>
      <c r="I131" s="541"/>
      <c r="J131" s="204"/>
      <c r="K131" s="233" t="str">
        <f>IF(Contents!$B$2=2,"Yes","Да")</f>
        <v>Да</v>
      </c>
      <c r="L131" s="555" t="str">
        <f>IF(Contents!$B$2=2,"Yes","Да")</f>
        <v>Да</v>
      </c>
      <c r="M131" s="473"/>
    </row>
    <row r="132" spans="2:13" ht="22.5" customHeight="1">
      <c r="B132" s="129" t="str">
        <f>IF(Contents!$B$2=2,"by air emission location","по месту выбросов")</f>
        <v>по месту выбросов</v>
      </c>
      <c r="C132" s="222"/>
      <c r="D132" s="168"/>
      <c r="E132" s="168"/>
      <c r="F132" s="168"/>
      <c r="G132" s="169"/>
      <c r="H132" s="169"/>
      <c r="I132" s="541"/>
      <c r="J132" s="201"/>
      <c r="K132" s="234"/>
      <c r="L132" s="556"/>
      <c r="M132" s="240"/>
    </row>
    <row r="133" spans="2:13" ht="22.5" customHeight="1">
      <c r="B133" s="276" t="str">
        <f>IF(Contents!$B$2=2,"Air emissions in cities","Выбросы в атмосферу в городах")</f>
        <v>Выбросы в атмосферу в городах</v>
      </c>
      <c r="C133" s="221" t="str">
        <f>IF(Contents!$B$2=2,"t","т")</f>
        <v>т</v>
      </c>
      <c r="D133" s="148" t="s">
        <v>12</v>
      </c>
      <c r="E133" s="148" t="s">
        <v>12</v>
      </c>
      <c r="F133" s="163">
        <v>15</v>
      </c>
      <c r="G133" s="188">
        <v>19</v>
      </c>
      <c r="H133" s="171">
        <v>51</v>
      </c>
      <c r="I133" s="541"/>
      <c r="J133" s="200" t="s">
        <v>17</v>
      </c>
      <c r="K133" s="555" t="str">
        <f>IF(Contents!$B$2=2,"Yes","Да")</f>
        <v>Да</v>
      </c>
      <c r="L133" s="555" t="str">
        <f>IF(Contents!$B$2=2,"Yes","Да")</f>
        <v>Да</v>
      </c>
      <c r="M133" s="240" t="str">
        <f>IF(Contents!$B$2=2,"Air emissions in cities are calculated in large cities, such as Chelyabinsk, Zlatoust, Rostov-on-Don and Volgograd.","Выбросы в атмосферу в городах рассчитываются в крупных городах, таких как Челябинск, Златоуст, Ростов-на-Дону и Волгоград.")</f>
        <v>Выбросы в атмосферу в городах рассчитываются в крупных городах, таких как Челябинск, Златоуст, Ростов-на-Дону и Волгоград.</v>
      </c>
    </row>
    <row r="134" spans="2:13" ht="22.5" customHeight="1">
      <c r="B134" s="39" t="str">
        <f>IF(Contents!$B$2=2,"Specific air emissions","Удельные выбросы в атмосферу")</f>
        <v>Удельные выбросы в атмосферу</v>
      </c>
      <c r="C134" s="222"/>
      <c r="D134" s="172"/>
      <c r="E134" s="173"/>
      <c r="F134" s="173"/>
      <c r="G134" s="167"/>
      <c r="H134" s="167"/>
      <c r="I134" s="538"/>
      <c r="J134" s="201"/>
      <c r="K134" s="234"/>
      <c r="L134" s="556"/>
      <c r="M134" s="473"/>
    </row>
    <row r="135" spans="2:13" ht="22.5" customHeight="1">
      <c r="B135" s="125" t="str">
        <f>IF(Contents!$B$2=2,"Specific air emissions","Удельные выбросы в атмосферу")</f>
        <v>Удельные выбросы в атмосферу</v>
      </c>
      <c r="C135" s="221" t="str">
        <f>IF(Contents!$B$2=2,"t per thousand boe","т на тыс. бнэ")</f>
        <v>т на тыс. бнэ</v>
      </c>
      <c r="D135" s="174" t="s">
        <v>12</v>
      </c>
      <c r="E135" s="175">
        <v>0.128</v>
      </c>
      <c r="F135" s="175">
        <v>0.128</v>
      </c>
      <c r="G135" s="152">
        <v>0.143</v>
      </c>
      <c r="H135" s="280">
        <v>0.132</v>
      </c>
      <c r="I135" s="595"/>
      <c r="J135" s="200" t="s">
        <v>17</v>
      </c>
      <c r="K135" s="555" t="str">
        <f>IF(Contents!$B$2=2,"Yes","Да")</f>
        <v>Да</v>
      </c>
      <c r="L135" s="555" t="str">
        <f>IF(Contents!$B$2=2,"Yes","Да")</f>
        <v>Да</v>
      </c>
      <c r="M135" s="240" t="str">
        <f>IF(Contents!$B$2=2,"Specific air emission is calculated as total air emissions (NOx, SO2, CO, PM, VOCs, hydrocarbons etc.) per production volumes, including the Company's share in JVs.","Удельные выбросы в атмосферу рассчитываются как суммарные выбросы в атмосферу (NOx, SO2, CO, ТЧ, ЛОС, углеводороды и т. д.) в расчете на объем производства, включая долю Компании в совместных предприятиях.")</f>
        <v>Удельные выбросы в атмосферу рассчитываются как суммарные выбросы в атмосферу (NOx, SO2, CO, ТЧ, ЛОС, углеводороды и т. д.) в расчете на объем производства, включая долю Компании в совместных предприятиях.</v>
      </c>
    </row>
    <row r="136" spans="2:13" ht="39.75" customHeight="1">
      <c r="B136" s="253" t="str">
        <f>IF(Contents!$B$2=2,"Waste generation","Образование отходов")</f>
        <v>Образование отходов</v>
      </c>
      <c r="C136" s="243" t="str">
        <f>IF(Contents!$B$2=2,"mt","тыс. т")</f>
        <v>тыс. т</v>
      </c>
      <c r="D136" s="271">
        <v>25.5</v>
      </c>
      <c r="E136" s="271">
        <v>49.6</v>
      </c>
      <c r="F136" s="271">
        <v>79.8</v>
      </c>
      <c r="G136" s="272">
        <v>47.2</v>
      </c>
      <c r="H136" s="272">
        <v>53.5</v>
      </c>
      <c r="I136" s="538"/>
      <c r="J136" s="247" t="s">
        <v>32</v>
      </c>
      <c r="K136" s="562" t="str">
        <f>IF(Contents!$B$2=2,"Yes","Да")</f>
        <v>Да</v>
      </c>
      <c r="L136" s="562" t="str">
        <f>IF(Contents!$B$2=2,"Yes","Да")</f>
        <v>Да</v>
      </c>
      <c r="M136" s="473"/>
    </row>
    <row r="137" spans="2:13" ht="22.5" customHeight="1">
      <c r="B137" s="129" t="str">
        <f>IF(Contents!$B$2=2,"by source","по типу")</f>
        <v>по типу</v>
      </c>
      <c r="C137" s="132"/>
      <c r="D137" s="167"/>
      <c r="E137" s="167"/>
      <c r="F137" s="167"/>
      <c r="G137" s="167"/>
      <c r="H137" s="167"/>
      <c r="I137" s="538"/>
      <c r="J137" s="132"/>
      <c r="K137" s="132"/>
      <c r="L137" s="531"/>
      <c r="M137" s="473"/>
    </row>
    <row r="138" spans="2:13" s="17" customFormat="1" ht="22.5" customHeight="1">
      <c r="B138" s="128" t="str">
        <f>IF(Contents!$B$2=2,"Drilling mud","Буровой шлам")</f>
        <v>Буровой шлам</v>
      </c>
      <c r="C138" s="221" t="str">
        <f>IF(Contents!$B$2=2,"mt","тыс. т")</f>
        <v>тыс. т</v>
      </c>
      <c r="D138" s="148" t="s">
        <v>12</v>
      </c>
      <c r="E138" s="148" t="s">
        <v>12</v>
      </c>
      <c r="F138" s="148" t="s">
        <v>12</v>
      </c>
      <c r="G138" s="176">
        <v>37.4</v>
      </c>
      <c r="H138" s="278">
        <v>41.4</v>
      </c>
      <c r="I138" s="596"/>
      <c r="J138" s="200" t="s">
        <v>62</v>
      </c>
      <c r="K138" s="555" t="str">
        <f>IF(Contents!$B$2=2,"Yes","Да")</f>
        <v>Да</v>
      </c>
      <c r="L138" s="555" t="str">
        <f>IF(Contents!$B$2=2,"Yes","Да")</f>
        <v>Да</v>
      </c>
      <c r="M138" s="472"/>
    </row>
    <row r="139" spans="2:13" s="17" customFormat="1" ht="22.5" customHeight="1">
      <c r="B139" s="128" t="str">
        <f>IF(Contents!$B$2=2,"Other","Прочие")</f>
        <v>Прочие</v>
      </c>
      <c r="C139" s="221" t="str">
        <f>IF(Contents!$B$2=2,"mt","тыс. т")</f>
        <v>тыс. т</v>
      </c>
      <c r="D139" s="148" t="s">
        <v>12</v>
      </c>
      <c r="E139" s="148" t="s">
        <v>12</v>
      </c>
      <c r="F139" s="148" t="s">
        <v>12</v>
      </c>
      <c r="G139" s="176">
        <v>9.8</v>
      </c>
      <c r="H139" s="278">
        <v>12.1</v>
      </c>
      <c r="I139" s="596"/>
      <c r="J139" s="200"/>
      <c r="K139" s="555" t="str">
        <f>IF(Contents!$B$2=2,"Yes","Да")</f>
        <v>Да</v>
      </c>
      <c r="L139" s="555" t="str">
        <f>IF(Contents!$B$2=2,"No","Нет")</f>
        <v>Нет</v>
      </c>
      <c r="M139" s="472"/>
    </row>
    <row r="140" spans="2:13" ht="22.5" customHeight="1">
      <c r="B140" s="129" t="str">
        <f>IF(Contents!$B$2=2,"by environmental impact","по степени воздействия на окружающую среду")</f>
        <v>по степени воздействия на окружающую среду</v>
      </c>
      <c r="C140" s="222"/>
      <c r="D140" s="172"/>
      <c r="E140" s="172"/>
      <c r="F140" s="172"/>
      <c r="G140" s="178"/>
      <c r="H140" s="179"/>
      <c r="I140" s="589"/>
      <c r="J140" s="201" t="s">
        <v>32</v>
      </c>
      <c r="K140" s="236"/>
      <c r="L140" s="557"/>
      <c r="M140" s="473"/>
    </row>
    <row r="141" spans="2:13" ht="22.5" customHeight="1">
      <c r="B141" s="127" t="str">
        <f>IF(Contents!$B$2=2,"Virtually non-hazardous (Class 5)","Практически неопасные (5 класс)")</f>
        <v>Практически неопасные (5 класс)</v>
      </c>
      <c r="C141" s="221" t="s">
        <v>0</v>
      </c>
      <c r="D141" s="160">
        <v>5</v>
      </c>
      <c r="E141" s="160">
        <v>5</v>
      </c>
      <c r="F141" s="160">
        <v>3</v>
      </c>
      <c r="G141" s="152">
        <v>5</v>
      </c>
      <c r="H141" s="153">
        <v>6</v>
      </c>
      <c r="I141" s="538"/>
      <c r="J141" s="200"/>
      <c r="K141" s="555" t="str">
        <f>IF(Contents!$B$2=2,"Yes","Да")</f>
        <v>Да</v>
      </c>
      <c r="L141" s="555" t="str">
        <f>IF(Contents!$B$2=2,"No","Нет")</f>
        <v>Нет</v>
      </c>
      <c r="M141" s="473"/>
    </row>
    <row r="142" spans="2:13" ht="22.5" customHeight="1">
      <c r="B142" s="127" t="str">
        <f>IF(Contents!$B$2=2,"Low hazardous (Class 4)","Малоопасные (4 класс)")</f>
        <v>Малоопасные (4 класс)</v>
      </c>
      <c r="C142" s="221" t="s">
        <v>0</v>
      </c>
      <c r="D142" s="160">
        <v>91</v>
      </c>
      <c r="E142" s="160">
        <v>92</v>
      </c>
      <c r="F142" s="160">
        <v>96</v>
      </c>
      <c r="G142" s="152">
        <v>91</v>
      </c>
      <c r="H142" s="153">
        <v>91</v>
      </c>
      <c r="I142" s="538"/>
      <c r="J142" s="200"/>
      <c r="K142" s="555" t="str">
        <f>IF(Contents!$B$2=2,"Yes","Да")</f>
        <v>Да</v>
      </c>
      <c r="L142" s="555" t="str">
        <f>IF(Contents!$B$2=2,"No","Нет")</f>
        <v>Нет</v>
      </c>
      <c r="M142" s="473"/>
    </row>
    <row r="143" spans="2:13" ht="22.5" customHeight="1">
      <c r="B143" s="127" t="str">
        <f>IF(Contents!$B$2=2,"Extremely hazardous, highly hazardous and moderately hazardous (Сlass 1-3)","Чрезвычайно опасные, высокоопасные и умеренно опасные (1-3 класс)")</f>
        <v>Чрезвычайно опасные, высокоопасные и умеренно опасные (1-3 класс)</v>
      </c>
      <c r="C143" s="221" t="s">
        <v>0</v>
      </c>
      <c r="D143" s="160">
        <v>4</v>
      </c>
      <c r="E143" s="160">
        <v>3</v>
      </c>
      <c r="F143" s="160">
        <v>1</v>
      </c>
      <c r="G143" s="152">
        <v>4</v>
      </c>
      <c r="H143" s="153">
        <v>3</v>
      </c>
      <c r="I143" s="538"/>
      <c r="J143" s="200"/>
      <c r="K143" s="555" t="str">
        <f>IF(Contents!$B$2=2,"Yes","Да")</f>
        <v>Да</v>
      </c>
      <c r="L143" s="555" t="str">
        <f>IF(Contents!$B$2=2,"No","Нет")</f>
        <v>Нет</v>
      </c>
      <c r="M143" s="473"/>
    </row>
    <row r="144" spans="2:14" s="30" customFormat="1" ht="22.5" customHeight="1">
      <c r="B144" s="277" t="str">
        <f>IF(Contents!$B$2=2,"Share of waste directed to utilization and disposal","Доля отходов, направленных на утилизацию и обезвреживание")</f>
        <v>Доля отходов, направленных на утилизацию и обезвреживание</v>
      </c>
      <c r="C144" s="221" t="s">
        <v>0</v>
      </c>
      <c r="D144" s="148" t="s">
        <v>12</v>
      </c>
      <c r="E144" s="148" t="s">
        <v>12</v>
      </c>
      <c r="F144" s="160">
        <v>75</v>
      </c>
      <c r="G144" s="152">
        <v>69</v>
      </c>
      <c r="H144" s="153">
        <v>83</v>
      </c>
      <c r="I144" s="538"/>
      <c r="J144" s="200" t="s">
        <v>31</v>
      </c>
      <c r="K144" s="555" t="str">
        <f>IF(Contents!$B$2=2,"Yes","Да")</f>
        <v>Да</v>
      </c>
      <c r="L144" s="555" t="str">
        <f>IF(Contents!$B$2=2,"Yes","Да")</f>
        <v>Да</v>
      </c>
      <c r="M144" s="240" t="str">
        <f>IF(Contents!$B$2=2,"Share of waste directed to utilization and disposal is calculated as the sum of waste generated and waste from last year per the sum of waste utilized and waste disposed.","Доля отходов, направленных на утилизацию и обезвреживание, рассчитывается как сумма образовавшихся отходов и отходов прошлого года на сумму утилизированных и обезвреженных отходов.")</f>
        <v>Доля отходов, направленных на утилизацию и обезвреживание, рассчитывается как сумма образовавшихся отходов и отходов прошлого года на сумму утилизированных и обезвреженных отходов.</v>
      </c>
      <c r="N144" s="369"/>
    </row>
    <row r="145" spans="2:13" ht="22.5" customHeight="1">
      <c r="B145" s="275" t="str">
        <f>IF(Contents!$B$2=2,"Significant spills","Существенные разливы")</f>
        <v>Существенные разливы</v>
      </c>
      <c r="C145" s="222" t="s">
        <v>6</v>
      </c>
      <c r="D145" s="151">
        <v>0</v>
      </c>
      <c r="E145" s="166">
        <v>1</v>
      </c>
      <c r="F145" s="166">
        <v>0</v>
      </c>
      <c r="G145" s="167">
        <v>0</v>
      </c>
      <c r="H145" s="167">
        <v>0</v>
      </c>
      <c r="I145" s="538"/>
      <c r="J145" s="201" t="s">
        <v>30</v>
      </c>
      <c r="K145" s="234" t="s">
        <v>15</v>
      </c>
      <c r="L145" s="556" t="str">
        <f>IF(Contents!$B$2=2,"Yes","Да")</f>
        <v>Да</v>
      </c>
      <c r="M145" s="240" t="str">
        <f>IF(Contents!$B$2=2,"Significant spills are determined based on the requirements of applicable laws and regulations of the Russian Federation and the Company’s relevant local regulations.","Пороги существенности разливов определяются на основе требований нормативно-правовых актов Российской Федерации и соответствующих локальных нормативных актов Компании.")</f>
        <v>Пороги существенности разливов определяются на основе требований нормативно-правовых актов Российской Федерации и соответствующих локальных нормативных актов Компании.</v>
      </c>
    </row>
    <row r="146" spans="2:13" ht="22.5" customHeight="1">
      <c r="B146" s="277"/>
      <c r="C146" s="221"/>
      <c r="D146" s="160"/>
      <c r="E146" s="160"/>
      <c r="F146" s="160"/>
      <c r="G146" s="152"/>
      <c r="H146" s="152"/>
      <c r="I146" s="538"/>
      <c r="J146" s="200"/>
      <c r="K146" s="233"/>
      <c r="L146" s="555"/>
      <c r="M146" s="240"/>
    </row>
    <row r="147" spans="2:13" ht="39.75" customHeight="1">
      <c r="B147" s="20" t="str">
        <f>IF(Contents!$B$2=2," WATER USE AND DISCHARGE","ВОДОПОЛЬЗОВАНИЕ И ВОДООТВЕДЕНИЕ")</f>
        <v>ВОДОПОЛЬЗОВАНИЕ И ВОДООТВЕДЕНИЕ</v>
      </c>
      <c r="C147" s="218"/>
      <c r="D147" s="136"/>
      <c r="E147" s="136"/>
      <c r="F147" s="137"/>
      <c r="G147" s="137"/>
      <c r="H147" s="259"/>
      <c r="I147" s="571"/>
      <c r="J147" s="209"/>
      <c r="K147" s="130"/>
      <c r="L147" s="529"/>
      <c r="M147" s="473"/>
    </row>
    <row r="148" spans="3:13" s="17" customFormat="1" ht="19.5" customHeight="1">
      <c r="C148" s="219"/>
      <c r="D148" s="180"/>
      <c r="E148" s="180"/>
      <c r="F148" s="180"/>
      <c r="G148" s="184"/>
      <c r="H148" s="180"/>
      <c r="I148" s="546"/>
      <c r="J148" s="198"/>
      <c r="K148" s="232"/>
      <c r="L148" s="554"/>
      <c r="M148" s="472"/>
    </row>
    <row r="149" spans="2:13" ht="39.75" customHeight="1">
      <c r="B149" s="302" t="str">
        <f>IF(Contents!$B$2=2,"Water withdrawal","Водопотребление")</f>
        <v>Водопотребление</v>
      </c>
      <c r="C149" s="243" t="str">
        <f>IF(Contents!$B$2=2,"thousand cm","тыс. куб. м")</f>
        <v>тыс. куб. м</v>
      </c>
      <c r="D149" s="301">
        <v>2243</v>
      </c>
      <c r="E149" s="301">
        <v>2537</v>
      </c>
      <c r="F149" s="301">
        <v>2365</v>
      </c>
      <c r="G149" s="263">
        <v>2040</v>
      </c>
      <c r="H149" s="263">
        <v>2975</v>
      </c>
      <c r="I149" s="541"/>
      <c r="J149" s="247" t="s">
        <v>29</v>
      </c>
      <c r="K149" s="562" t="str">
        <f>IF(Contents!$B$2=2,"Yes","Да")</f>
        <v>Да</v>
      </c>
      <c r="L149" s="562" t="str">
        <f>IF(Contents!$B$2=2,"Yes","Да")</f>
        <v>Да</v>
      </c>
      <c r="M149" s="240" t="str">
        <f>IF(Contents!$B$2=2,"Water consumption excluding water for reservoir pressure maintenance.","Расход воды без учета воды на поддержание пластового давления.")</f>
        <v>Расход воды без учета воды на поддержание пластового давления.</v>
      </c>
    </row>
    <row r="150" spans="2:13" ht="24" customHeight="1">
      <c r="B150" s="128" t="str">
        <f>IF(Contents!$B$2=2,"Freshwater withdrawal","Пресная вода")</f>
        <v>Пресная вода</v>
      </c>
      <c r="C150" s="221" t="str">
        <f>IF(Contents!$B$2=2,"thousand cm","тыс. куб. м")</f>
        <v>тыс. куб. м</v>
      </c>
      <c r="D150" s="148" t="s">
        <v>12</v>
      </c>
      <c r="E150" s="148" t="s">
        <v>12</v>
      </c>
      <c r="F150" s="160">
        <v>1711</v>
      </c>
      <c r="G150" s="161">
        <v>1952</v>
      </c>
      <c r="H150" s="171">
        <v>2738</v>
      </c>
      <c r="I150" s="541"/>
      <c r="J150" s="210"/>
      <c r="K150" s="233" t="str">
        <f>IF(Contents!$B$2=2,"Yes","Да")</f>
        <v>Да</v>
      </c>
      <c r="L150" s="555" t="str">
        <f>IF(Contents!$B$2=2,"Yes","Да")</f>
        <v>Да</v>
      </c>
      <c r="M150" s="240"/>
    </row>
    <row r="151" spans="2:13" ht="22.5" customHeight="1">
      <c r="B151" s="129" t="str">
        <f>IF(Contents!$B$2=2,"by facilities","по сегментам")</f>
        <v>по сегментам</v>
      </c>
      <c r="C151" s="222"/>
      <c r="D151" s="166"/>
      <c r="E151" s="166"/>
      <c r="F151" s="166"/>
      <c r="G151" s="166"/>
      <c r="H151" s="179"/>
      <c r="I151" s="589"/>
      <c r="J151" s="201" t="s">
        <v>29</v>
      </c>
      <c r="K151" s="234"/>
      <c r="L151" s="556"/>
      <c r="M151" s="473"/>
    </row>
    <row r="152" spans="2:13" ht="22.5" customHeight="1">
      <c r="B152" s="126" t="str">
        <f>IF(Contents!$B$2=2,"Production / Upstream facilities","Предприятия добычи")</f>
        <v>Предприятия добычи</v>
      </c>
      <c r="C152" s="221" t="str">
        <f>IF(Contents!$B$2=2,"thousand cm","тыс. куб. м")</f>
        <v>тыс. куб. м</v>
      </c>
      <c r="D152" s="148" t="s">
        <v>12</v>
      </c>
      <c r="E152" s="148" t="s">
        <v>12</v>
      </c>
      <c r="F152" s="148" t="s">
        <v>12</v>
      </c>
      <c r="G152" s="148" t="s">
        <v>12</v>
      </c>
      <c r="H152" s="171">
        <v>2258.8</v>
      </c>
      <c r="I152" s="541"/>
      <c r="J152" s="204"/>
      <c r="K152" s="233" t="str">
        <f>IF(Contents!$B$2=2,"Yes","Да")</f>
        <v>Да</v>
      </c>
      <c r="L152" s="555" t="str">
        <f>IF(Contents!$B$2=2,"Yes","Да")</f>
        <v>Да</v>
      </c>
      <c r="M152" s="473"/>
    </row>
    <row r="153" spans="2:13" ht="22.5" customHeight="1">
      <c r="B153" s="126" t="str">
        <f>IF(Contents!$B$2=2,"Processing / Downstream facilities","Предприятия переработки")</f>
        <v>Предприятия переработки</v>
      </c>
      <c r="C153" s="221" t="str">
        <f>IF(Contents!$B$2=2,"thousand cm","тыс. куб. м")</f>
        <v>тыс. куб. м</v>
      </c>
      <c r="D153" s="148" t="s">
        <v>12</v>
      </c>
      <c r="E153" s="148" t="s">
        <v>12</v>
      </c>
      <c r="F153" s="148" t="s">
        <v>12</v>
      </c>
      <c r="G153" s="148" t="s">
        <v>12</v>
      </c>
      <c r="H153" s="171">
        <v>191.4</v>
      </c>
      <c r="I153" s="541"/>
      <c r="J153" s="204"/>
      <c r="K153" s="555" t="str">
        <f>IF(Contents!$B$2=2,"Yes","Да")</f>
        <v>Да</v>
      </c>
      <c r="L153" s="555" t="str">
        <f>IF(Contents!$B$2=2,"Yes","Да")</f>
        <v>Да</v>
      </c>
      <c r="M153" s="473"/>
    </row>
    <row r="154" spans="2:13" ht="22.5" customHeight="1">
      <c r="B154" s="126" t="str">
        <f>IF(Contents!$B$2=2,"LNG production facilities","Производство СПГ")</f>
        <v>Производство СПГ</v>
      </c>
      <c r="C154" s="221" t="str">
        <f>IF(Contents!$B$2=2,"thousand cm","тыс. куб. м")</f>
        <v>тыс. куб. м</v>
      </c>
      <c r="D154" s="148" t="s">
        <v>12</v>
      </c>
      <c r="E154" s="148" t="s">
        <v>12</v>
      </c>
      <c r="F154" s="148" t="s">
        <v>12</v>
      </c>
      <c r="G154" s="148" t="s">
        <v>12</v>
      </c>
      <c r="H154" s="171">
        <v>523.4</v>
      </c>
      <c r="I154" s="541"/>
      <c r="J154" s="204"/>
      <c r="K154" s="555" t="str">
        <f>IF(Contents!$B$2=2,"Yes","Да")</f>
        <v>Да</v>
      </c>
      <c r="L154" s="555" t="str">
        <f>IF(Contents!$B$2=2,"Yes","Да")</f>
        <v>Да</v>
      </c>
      <c r="M154" s="473"/>
    </row>
    <row r="155" spans="2:13" ht="22.5" customHeight="1">
      <c r="B155" s="127" t="str">
        <f>IF(Contents!$B$2=2,"Other","Прочие")</f>
        <v>Прочие</v>
      </c>
      <c r="C155" s="221" t="str">
        <f>IF(Contents!$B$2=2,"thousand cm","тыс. куб. м")</f>
        <v>тыс. куб. м</v>
      </c>
      <c r="D155" s="148" t="s">
        <v>12</v>
      </c>
      <c r="E155" s="148" t="s">
        <v>12</v>
      </c>
      <c r="F155" s="148" t="s">
        <v>12</v>
      </c>
      <c r="G155" s="148" t="s">
        <v>12</v>
      </c>
      <c r="H155" s="171">
        <v>1.8</v>
      </c>
      <c r="I155" s="541"/>
      <c r="J155" s="204"/>
      <c r="K155" s="555" t="str">
        <f>IF(Contents!$B$2=2,"Yes","Да")</f>
        <v>Да</v>
      </c>
      <c r="L155" s="555" t="str">
        <f>IF(Contents!$B$2=2,"Yes","Да")</f>
        <v>Да</v>
      </c>
      <c r="M155" s="473"/>
    </row>
    <row r="156" spans="2:13" ht="22.5" customHeight="1">
      <c r="B156" s="129" t="str">
        <f>IF(Contents!$B$2=2,"by source type","по типу источника")</f>
        <v>по типу источника</v>
      </c>
      <c r="C156" s="222"/>
      <c r="D156" s="166"/>
      <c r="E156" s="166"/>
      <c r="F156" s="166"/>
      <c r="G156" s="169"/>
      <c r="H156" s="179"/>
      <c r="I156" s="589"/>
      <c r="J156" s="201" t="s">
        <v>28</v>
      </c>
      <c r="K156" s="234" t="str">
        <f>IF(Contents!$B$2=2,"Yes","Да")</f>
        <v>Да</v>
      </c>
      <c r="L156" s="556"/>
      <c r="M156" s="473"/>
    </row>
    <row r="157" spans="2:13" ht="22.5" customHeight="1">
      <c r="B157" s="127" t="str">
        <f>IF(Contents!$B$2=2,"Surface water ","Поверхностные воды")</f>
        <v>Поверхностные воды</v>
      </c>
      <c r="C157" s="221" t="str">
        <f>IF(Contents!$B$2=2,"thousand cm","тыс. куб. м")</f>
        <v>тыс. куб. м</v>
      </c>
      <c r="D157" s="148" t="s">
        <v>12</v>
      </c>
      <c r="E157" s="148" t="s">
        <v>12</v>
      </c>
      <c r="F157" s="160">
        <v>1729</v>
      </c>
      <c r="G157" s="160">
        <v>1184</v>
      </c>
      <c r="H157" s="171">
        <v>1606</v>
      </c>
      <c r="I157" s="541"/>
      <c r="J157" s="204"/>
      <c r="K157" s="233" t="str">
        <f>IF(Contents!$B$2=2,"Yes","Да")</f>
        <v>Да</v>
      </c>
      <c r="L157" s="555" t="str">
        <f>IF(Contents!$B$2=2,"Yes","Да")</f>
        <v>Да</v>
      </c>
      <c r="M157" s="473"/>
    </row>
    <row r="158" spans="2:13" ht="22.5" customHeight="1">
      <c r="B158" s="127" t="str">
        <f>IF(Contents!$B$2=2,"Ground water","Подземные воды")</f>
        <v>Подземные воды</v>
      </c>
      <c r="C158" s="221" t="str">
        <f>IF(Contents!$B$2=2,"thousand cm","тыс. куб. м")</f>
        <v>тыс. куб. м</v>
      </c>
      <c r="D158" s="148" t="s">
        <v>12</v>
      </c>
      <c r="E158" s="148" t="s">
        <v>12</v>
      </c>
      <c r="F158" s="160">
        <v>633</v>
      </c>
      <c r="G158" s="160">
        <v>827</v>
      </c>
      <c r="H158" s="171">
        <v>861</v>
      </c>
      <c r="I158" s="541"/>
      <c r="J158" s="204"/>
      <c r="K158" s="555" t="str">
        <f>IF(Contents!$B$2=2,"Yes","Да")</f>
        <v>Да</v>
      </c>
      <c r="L158" s="555" t="str">
        <f>IF(Contents!$B$2=2,"Yes","Да")</f>
        <v>Да</v>
      </c>
      <c r="M158" s="473"/>
    </row>
    <row r="159" spans="2:13" ht="22.5" customHeight="1">
      <c r="B159" s="127" t="str">
        <f>IF(Contents!$B$2=2,"Seawater","Морская вода")</f>
        <v>Морская вода</v>
      </c>
      <c r="C159" s="221" t="str">
        <f>IF(Contents!$B$2=2,"thousand cm","тыс. куб. м")</f>
        <v>тыс. куб. м</v>
      </c>
      <c r="D159" s="148" t="s">
        <v>12</v>
      </c>
      <c r="E159" s="148" t="s">
        <v>12</v>
      </c>
      <c r="F159" s="148" t="s">
        <v>12</v>
      </c>
      <c r="G159" s="148" t="s">
        <v>12</v>
      </c>
      <c r="H159" s="171">
        <v>476</v>
      </c>
      <c r="I159" s="541"/>
      <c r="J159" s="204"/>
      <c r="K159" s="555" t="str">
        <f>IF(Contents!$B$2=2,"Yes","Да")</f>
        <v>Да</v>
      </c>
      <c r="L159" s="555" t="str">
        <f>IF(Contents!$B$2=2,"Yes","Да")</f>
        <v>Да</v>
      </c>
      <c r="M159" s="240" t="str">
        <f>IF(Contents!$B$2=2,"Seawater withdrawal and discharge volumes were not disclosed separately till 2021.","Объемы забора и сброса морской воды отдельно не раскрывались до 2021 года.")</f>
        <v>Объемы забора и сброса морской воды отдельно не раскрывались до 2021 года.</v>
      </c>
    </row>
    <row r="160" spans="2:13" ht="22.5" customHeight="1">
      <c r="B160" s="127" t="str">
        <f>IF(Contents!$B$2=2,"Other","Прочие")</f>
        <v>Прочие</v>
      </c>
      <c r="C160" s="221" t="str">
        <f>IF(Contents!$B$2=2,"thousand cm","тыс. куб. м")</f>
        <v>тыс. куб. м</v>
      </c>
      <c r="D160" s="148" t="s">
        <v>12</v>
      </c>
      <c r="E160" s="148" t="s">
        <v>12</v>
      </c>
      <c r="F160" s="160">
        <v>3</v>
      </c>
      <c r="G160" s="160">
        <v>29</v>
      </c>
      <c r="H160" s="171">
        <v>32</v>
      </c>
      <c r="I160" s="541"/>
      <c r="J160" s="204"/>
      <c r="K160" s="555" t="str">
        <f>IF(Contents!$B$2=2,"Yes","Да")</f>
        <v>Да</v>
      </c>
      <c r="L160" s="555" t="str">
        <f>IF(Contents!$B$2=2,"Yes","Да")</f>
        <v>Да</v>
      </c>
      <c r="M160" s="473"/>
    </row>
    <row r="161" spans="2:13" ht="22.5" customHeight="1">
      <c r="B161" s="129" t="str">
        <f>IF(Contents!$B$2=2,"Specific water consumption","Удельное водопотребление")</f>
        <v>Удельное водопотребление</v>
      </c>
      <c r="C161" s="225"/>
      <c r="D161" s="186"/>
      <c r="E161" s="172"/>
      <c r="F161" s="172"/>
      <c r="G161" s="187"/>
      <c r="H161" s="179"/>
      <c r="I161" s="589"/>
      <c r="J161" s="207"/>
      <c r="K161" s="236"/>
      <c r="L161" s="557"/>
      <c r="M161" s="240" t="str">
        <f>IF(Contents!$B$2=2,"Specific water consumption is calculated as water consumption per production/processing volumes in corresponding business segment, including the Company's share in JVs.","Удельное водопотребление рассчитывается как водопотребление на объемы производства/переработки в соответствующем бизнес-сегменте, включая долю Компании в совместных предприятиях.")</f>
        <v>Удельное водопотребление рассчитывается как водопотребление на объемы производства/переработки в соответствующем бизнес-сегменте, включая долю Компании в совместных предприятиях.</v>
      </c>
    </row>
    <row r="162" spans="2:13" ht="22.5" customHeight="1">
      <c r="B162" s="126" t="str">
        <f>IF(Contents!$B$2=2,"Production / Upstream facilities","Предприятия добычи")</f>
        <v>Предприятия добычи</v>
      </c>
      <c r="C162" s="226" t="str">
        <f>IF(Contents!$B$2=2,"cm per thousand boe","куб. м на тыс. бнэ")</f>
        <v>куб. м на тыс. бнэ</v>
      </c>
      <c r="D162" s="303">
        <v>3.9</v>
      </c>
      <c r="E162" s="304">
        <v>5.1</v>
      </c>
      <c r="F162" s="304">
        <v>3.7</v>
      </c>
      <c r="G162" s="152">
        <v>2.17</v>
      </c>
      <c r="H162" s="153">
        <v>3.61</v>
      </c>
      <c r="I162" s="538"/>
      <c r="J162" s="204"/>
      <c r="K162" s="233" t="str">
        <f>IF(Contents!$B$2=2,"Yes","Да")</f>
        <v>Да</v>
      </c>
      <c r="L162" s="555" t="str">
        <f>IF(Contents!$B$2=2,"Yes","Да")</f>
        <v>Да</v>
      </c>
      <c r="M162" s="473"/>
    </row>
    <row r="163" spans="2:13" s="17" customFormat="1" ht="22.5" customHeight="1">
      <c r="B163" s="126" t="str">
        <f>IF(Contents!$B$2=2,"Processing / Downstream facilities","Предприятия переработки")</f>
        <v>Предприятия переработки</v>
      </c>
      <c r="C163" s="227" t="str">
        <f>IF(Contents!$B$2=2,"cm per t of products","куб. м на т продукции")</f>
        <v>куб. м на т продукции</v>
      </c>
      <c r="D163" s="148" t="s">
        <v>12</v>
      </c>
      <c r="E163" s="152">
        <v>0.011</v>
      </c>
      <c r="F163" s="152">
        <v>0.011</v>
      </c>
      <c r="G163" s="189">
        <v>0.01</v>
      </c>
      <c r="H163" s="305">
        <v>0.01</v>
      </c>
      <c r="I163" s="548"/>
      <c r="J163" s="204"/>
      <c r="K163" s="555" t="str">
        <f>IF(Contents!$B$2=2,"Yes","Да")</f>
        <v>Да</v>
      </c>
      <c r="L163" s="555" t="str">
        <f>IF(Contents!$B$2=2,"Yes","Да")</f>
        <v>Да</v>
      </c>
      <c r="M163" s="472"/>
    </row>
    <row r="164" spans="2:13" ht="39" customHeight="1">
      <c r="B164" s="302" t="str">
        <f>IF(Contents!$B$2=2,"Water discharge","Водоотведение")</f>
        <v>Водоотведение</v>
      </c>
      <c r="C164" s="243" t="str">
        <f>IF(Contents!$B$2=2,"thousand cm","тыс. куб. м")</f>
        <v>тыс. куб. м</v>
      </c>
      <c r="D164" s="301" t="s">
        <v>12</v>
      </c>
      <c r="E164" s="301" t="s">
        <v>12</v>
      </c>
      <c r="F164" s="301">
        <v>2395</v>
      </c>
      <c r="G164" s="263">
        <v>1705</v>
      </c>
      <c r="H164" s="263">
        <v>2509</v>
      </c>
      <c r="I164" s="541"/>
      <c r="J164" s="247" t="s">
        <v>27</v>
      </c>
      <c r="K164" s="248" t="str">
        <f>IF(Contents!$B$2=2,"Yes","Да")</f>
        <v>Да</v>
      </c>
      <c r="L164" s="562" t="str">
        <f>IF(Contents!$B$2=2,"Yes","Да")</f>
        <v>Да</v>
      </c>
      <c r="M164" s="240" t="str">
        <f>IF(Contents!$B$2=2,"For total water discharge in 2017 and 2018 see Sustainability Report 2017 and 2018. The data was not included in this table because it was calculated based on 100% Company's share in JVs. See comment 1 for more details.","Общий сброс воды в 2017 и 2018 гг. см. в Отчете об устойчивом развитии за 2017 и 2018 гг. Данные не были включены в эту таблицу, поскольку они были рассчитаны на основе 100% доли Компании в совместных предприятиях. См. комментарий 1.")</f>
        <v>Общий сброс воды в 2017 и 2018 гг. см. в Отчете об устойчивом развитии за 2017 и 2018 гг. Данные не были включены в эту таблицу, поскольку они были рассчитаны на основе 100% доли Компании в совместных предприятиях. См. комментарий 1.</v>
      </c>
    </row>
    <row r="165" spans="2:13" ht="22.5" customHeight="1">
      <c r="B165" s="128" t="str">
        <f>IF(Contents!$B$2=2,"Freshwater discharge","Пресная вода")</f>
        <v>Пресная вода</v>
      </c>
      <c r="C165" s="221" t="str">
        <f>IF(Contents!$B$2=2,"thousand cm","тыс. куб. м")</f>
        <v>тыс. куб. м</v>
      </c>
      <c r="D165" s="148" t="s">
        <v>12</v>
      </c>
      <c r="E165" s="148" t="s">
        <v>12</v>
      </c>
      <c r="F165" s="148" t="s">
        <v>12</v>
      </c>
      <c r="G165" s="148" t="s">
        <v>12</v>
      </c>
      <c r="H165" s="171">
        <v>2248</v>
      </c>
      <c r="I165" s="541"/>
      <c r="J165" s="210"/>
      <c r="K165" s="233" t="str">
        <f>IF(Contents!$B$2=2,"Yes","Да")</f>
        <v>Да</v>
      </c>
      <c r="L165" s="555" t="str">
        <f>IF(Contents!$B$2=2,"No","Нет")</f>
        <v>Нет</v>
      </c>
      <c r="M165" s="473"/>
    </row>
    <row r="166" spans="2:13" ht="22.5" customHeight="1">
      <c r="B166" s="129" t="str">
        <f>IF(Contents!$B$2=2,"by types of destination","По типу приемников")</f>
        <v>По типу приемников</v>
      </c>
      <c r="C166" s="222"/>
      <c r="D166" s="151"/>
      <c r="E166" s="151"/>
      <c r="F166" s="185"/>
      <c r="G166" s="122"/>
      <c r="H166" s="122"/>
      <c r="I166" s="597"/>
      <c r="J166" s="211"/>
      <c r="K166" s="234"/>
      <c r="L166" s="556"/>
      <c r="M166" s="473"/>
    </row>
    <row r="167" spans="2:13" ht="22.5" customHeight="1">
      <c r="B167" s="127" t="str">
        <f>IF(Contents!$B$2=2,"Surface water ","Поверхностные воды")</f>
        <v>Поверхностные воды</v>
      </c>
      <c r="C167" s="221" t="str">
        <f>IF(Contents!$B$2=2,"thousand cm","тыс. куб. м")</f>
        <v>тыс. куб. м</v>
      </c>
      <c r="D167" s="148" t="s">
        <v>12</v>
      </c>
      <c r="E167" s="148" t="s">
        <v>12</v>
      </c>
      <c r="F167" s="161">
        <v>1234.3</v>
      </c>
      <c r="G167" s="161">
        <v>630</v>
      </c>
      <c r="H167" s="171">
        <v>223</v>
      </c>
      <c r="I167" s="541"/>
      <c r="J167" s="208"/>
      <c r="K167" s="555" t="str">
        <f>IF(Contents!$B$2=2,"Yes","Да")</f>
        <v>Да</v>
      </c>
      <c r="L167" s="555" t="str">
        <f>IF(Contents!$B$2=2,"Yes","Да")</f>
        <v>Да</v>
      </c>
      <c r="M167" s="473"/>
    </row>
    <row r="168" spans="2:13" ht="22.5" customHeight="1">
      <c r="B168" s="127" t="str">
        <f>IF(Contents!$B$2=2,"Ground water","Подземные воды")</f>
        <v>Подземные воды</v>
      </c>
      <c r="C168" s="221" t="str">
        <f>IF(Contents!$B$2=2,"thousand cm","тыс. куб. м")</f>
        <v>тыс. куб. м</v>
      </c>
      <c r="D168" s="148" t="s">
        <v>12</v>
      </c>
      <c r="E168" s="148" t="s">
        <v>12</v>
      </c>
      <c r="F168" s="161">
        <v>703.6</v>
      </c>
      <c r="G168" s="161">
        <v>869</v>
      </c>
      <c r="H168" s="171">
        <v>1015</v>
      </c>
      <c r="I168" s="541"/>
      <c r="J168" s="208"/>
      <c r="K168" s="555" t="str">
        <f>IF(Contents!$B$2=2,"Yes","Да")</f>
        <v>Да</v>
      </c>
      <c r="L168" s="555" t="str">
        <f>IF(Contents!$B$2=2,"Yes","Да")</f>
        <v>Да</v>
      </c>
      <c r="M168" s="473"/>
    </row>
    <row r="169" spans="2:13" ht="22.5" customHeight="1">
      <c r="B169" s="127" t="str">
        <f>IF(Contents!$B$2=2,"Seawater","Морская вода")</f>
        <v>Морская вода</v>
      </c>
      <c r="C169" s="221" t="str">
        <f>IF(Contents!$B$2=2,"thousand cm","тыс. куб. м")</f>
        <v>тыс. куб. м</v>
      </c>
      <c r="D169" s="148" t="s">
        <v>12</v>
      </c>
      <c r="E169" s="148" t="s">
        <v>12</v>
      </c>
      <c r="F169" s="148" t="s">
        <v>12</v>
      </c>
      <c r="G169" s="148" t="s">
        <v>12</v>
      </c>
      <c r="H169" s="171">
        <v>1026</v>
      </c>
      <c r="I169" s="541"/>
      <c r="J169" s="204"/>
      <c r="K169" s="555" t="str">
        <f>IF(Contents!$B$2=2,"Yes","Да")</f>
        <v>Да</v>
      </c>
      <c r="L169" s="555" t="str">
        <f>IF(Contents!$B$2=2,"Yes","Да")</f>
        <v>Да</v>
      </c>
      <c r="M169" s="240" t="str">
        <f>IF(Contents!$B$2=2,"Seawater withdrawal and discharge volumes were not disclosed separately till 2021.","Объемы забора и сброса морской воды отдельно не раскрывались до 2021 года.")</f>
        <v>Объемы забора и сброса морской воды отдельно не раскрывались до 2021 года.</v>
      </c>
    </row>
    <row r="170" spans="2:13" ht="22.5" customHeight="1">
      <c r="B170" s="127" t="str">
        <f>IF(Contents!$B$2=2,"Gas flaring systems","Газофакельные установки")</f>
        <v>Газофакельные установки</v>
      </c>
      <c r="C170" s="221" t="str">
        <f>IF(Contents!$B$2=2,"thousand cm","тыс. куб. м")</f>
        <v>тыс. куб. м</v>
      </c>
      <c r="D170" s="148" t="s">
        <v>12</v>
      </c>
      <c r="E170" s="148" t="s">
        <v>12</v>
      </c>
      <c r="F170" s="161">
        <v>415.8</v>
      </c>
      <c r="G170" s="161">
        <v>145</v>
      </c>
      <c r="H170" s="171">
        <v>194</v>
      </c>
      <c r="I170" s="541"/>
      <c r="J170" s="204"/>
      <c r="K170" s="555" t="str">
        <f>IF(Contents!$B$2=2,"Yes","Да")</f>
        <v>Да</v>
      </c>
      <c r="L170" s="555" t="str">
        <f>IF(Contents!$B$2=2,"Yes","Да")</f>
        <v>Да</v>
      </c>
      <c r="M170" s="473"/>
    </row>
    <row r="171" spans="2:13" ht="22.5" customHeight="1">
      <c r="B171" s="127" t="str">
        <f>IF(Contents!$B$2=2,"Other","Прочие")</f>
        <v>Прочие</v>
      </c>
      <c r="C171" s="221" t="str">
        <f>IF(Contents!$B$2=2,"thousand cm","тыс. куб. м")</f>
        <v>тыс. куб. м</v>
      </c>
      <c r="D171" s="148" t="s">
        <v>12</v>
      </c>
      <c r="E171" s="148" t="s">
        <v>12</v>
      </c>
      <c r="F171" s="161">
        <v>41</v>
      </c>
      <c r="G171" s="161">
        <v>61</v>
      </c>
      <c r="H171" s="171">
        <v>51</v>
      </c>
      <c r="I171" s="541"/>
      <c r="J171" s="204"/>
      <c r="K171" s="555" t="str">
        <f>IF(Contents!$B$2=2,"Yes","Да")</f>
        <v>Да</v>
      </c>
      <c r="L171" s="555" t="str">
        <f>IF(Contents!$B$2=2,"Yes","Да")</f>
        <v>Да</v>
      </c>
      <c r="M171" s="473"/>
    </row>
    <row r="172" spans="2:13" ht="40.5" customHeight="1">
      <c r="B172" s="302" t="str">
        <f>IF(Contents!$B$2=2,"Produced water","Пластовые воды")</f>
        <v>Пластовые воды</v>
      </c>
      <c r="C172" s="243"/>
      <c r="D172" s="301"/>
      <c r="E172" s="301"/>
      <c r="F172" s="301"/>
      <c r="G172" s="263"/>
      <c r="H172" s="263"/>
      <c r="I172" s="541"/>
      <c r="J172" s="247"/>
      <c r="K172" s="248"/>
      <c r="L172" s="562"/>
      <c r="M172" s="473"/>
    </row>
    <row r="173" spans="2:13" s="17" customFormat="1" ht="22.5" customHeight="1">
      <c r="B173" s="25" t="str">
        <f>IF(Contents!$B$2=2,"Volume of formation of produced water","Объем образования пластовой воды")</f>
        <v>Объем образования пластовой воды</v>
      </c>
      <c r="C173" s="221" t="str">
        <f>IF(Contents!$B$2=2,"mln cm","млн куб. м")</f>
        <v>млн куб. м</v>
      </c>
      <c r="D173" s="148" t="s">
        <v>12</v>
      </c>
      <c r="E173" s="148" t="s">
        <v>12</v>
      </c>
      <c r="F173" s="177">
        <v>7.6</v>
      </c>
      <c r="G173" s="152">
        <v>7.7</v>
      </c>
      <c r="H173" s="307">
        <v>7.6</v>
      </c>
      <c r="I173" s="573"/>
      <c r="J173" s="200" t="s">
        <v>56</v>
      </c>
      <c r="K173" s="233"/>
      <c r="L173" s="555" t="str">
        <f>IF(Contents!$B$2=2,"Yes","Да")</f>
        <v>Да</v>
      </c>
      <c r="M173" s="472"/>
    </row>
    <row r="174" spans="2:13" s="17" customFormat="1" ht="22.5" customHeight="1">
      <c r="B174" s="127" t="str">
        <f>IF(Contents!$B$2=2,"from production wells","из эксплуатационных скважин")</f>
        <v>из эксплуатационных скважин</v>
      </c>
      <c r="C174" s="221" t="str">
        <f>IF(Contents!$B$2=2,"mln cm","млн куб. м")</f>
        <v>млн куб. м</v>
      </c>
      <c r="D174" s="148" t="s">
        <v>12</v>
      </c>
      <c r="E174" s="148" t="s">
        <v>12</v>
      </c>
      <c r="F174" s="148" t="s">
        <v>12</v>
      </c>
      <c r="G174" s="157">
        <v>4.5</v>
      </c>
      <c r="H174" s="307">
        <v>5.6</v>
      </c>
      <c r="I174" s="573"/>
      <c r="J174" s="204"/>
      <c r="K174" s="233"/>
      <c r="L174" s="555" t="str">
        <f>IF(Contents!$B$2=2,"Yes","Да")</f>
        <v>Да</v>
      </c>
      <c r="M174" s="472"/>
    </row>
    <row r="175" spans="2:13" s="17" customFormat="1" ht="22.5" customHeight="1">
      <c r="B175" s="127" t="str">
        <f>IF(Contents!$B$2=2,"from water wells","из водозаборных скважин")</f>
        <v>из водозаборных скважин</v>
      </c>
      <c r="C175" s="221" t="str">
        <f>IF(Contents!$B$2=2,"mln cm","млн куб. м")</f>
        <v>млн куб. м</v>
      </c>
      <c r="D175" s="148" t="s">
        <v>12</v>
      </c>
      <c r="E175" s="148" t="s">
        <v>12</v>
      </c>
      <c r="F175" s="148" t="s">
        <v>12</v>
      </c>
      <c r="G175" s="157">
        <v>3.2</v>
      </c>
      <c r="H175" s="307">
        <v>2</v>
      </c>
      <c r="I175" s="573"/>
      <c r="J175" s="204"/>
      <c r="K175" s="233"/>
      <c r="L175" s="555" t="str">
        <f>IF(Contents!$B$2=2,"Yes","Да")</f>
        <v>Да</v>
      </c>
      <c r="M175" s="472"/>
    </row>
    <row r="176" spans="2:13" s="17" customFormat="1" ht="22.5" customHeight="1">
      <c r="B176" s="129" t="str">
        <f>IF(Contents!$B$2=2,"by types of destination","По назначению")</f>
        <v>По назначению</v>
      </c>
      <c r="C176" s="222"/>
      <c r="D176" s="151"/>
      <c r="E176" s="151"/>
      <c r="F176" s="185"/>
      <c r="G176" s="122"/>
      <c r="H176" s="122"/>
      <c r="I176" s="597"/>
      <c r="J176" s="211"/>
      <c r="K176" s="234"/>
      <c r="L176" s="556"/>
      <c r="M176" s="472"/>
    </row>
    <row r="177" spans="2:13" s="17" customFormat="1" ht="22.5" customHeight="1">
      <c r="B177" s="276" t="str">
        <f>IF(Contents!$B$2=2,"Discharged","Отводимая вода")</f>
        <v>Отводимая вода</v>
      </c>
      <c r="C177" s="221" t="s">
        <v>0</v>
      </c>
      <c r="D177" s="148" t="s">
        <v>12</v>
      </c>
      <c r="E177" s="148" t="s">
        <v>12</v>
      </c>
      <c r="F177" s="152">
        <v>24</v>
      </c>
      <c r="G177" s="152">
        <v>29</v>
      </c>
      <c r="H177" s="190">
        <v>37</v>
      </c>
      <c r="I177" s="540"/>
      <c r="J177" s="200"/>
      <c r="K177" s="233"/>
      <c r="L177" s="555" t="str">
        <f>IF(Contents!$B$2=2,"Yes","Да")</f>
        <v>Да</v>
      </c>
      <c r="M177" s="472"/>
    </row>
    <row r="178" spans="2:13" s="17" customFormat="1" ht="22.5" customHeight="1">
      <c r="B178" s="127" t="str">
        <f>IF(Contents!$B$2=2,"Reinjected","Повторно закачиваемая вода")</f>
        <v>Повторно закачиваемая вода</v>
      </c>
      <c r="C178" s="221" t="s">
        <v>0</v>
      </c>
      <c r="D178" s="148" t="s">
        <v>12</v>
      </c>
      <c r="E178" s="148" t="s">
        <v>12</v>
      </c>
      <c r="F178" s="152">
        <v>76</v>
      </c>
      <c r="G178" s="152">
        <v>71</v>
      </c>
      <c r="H178" s="190">
        <v>63</v>
      </c>
      <c r="I178" s="540"/>
      <c r="J178" s="200"/>
      <c r="K178" s="233"/>
      <c r="L178" s="555" t="str">
        <f>IF(Contents!$B$2=2,"Yes","Да")</f>
        <v>Да</v>
      </c>
      <c r="M178" s="472"/>
    </row>
    <row r="179" spans="2:13" s="17" customFormat="1" ht="22.5" customHeight="1">
      <c r="B179" s="127" t="str">
        <f>IF(Contents!$B$2=2,"Reused","Повторно используемая вода")</f>
        <v>Повторно используемая вода</v>
      </c>
      <c r="C179" s="221" t="s">
        <v>0</v>
      </c>
      <c r="D179" s="148" t="s">
        <v>12</v>
      </c>
      <c r="E179" s="148" t="s">
        <v>12</v>
      </c>
      <c r="F179" s="152">
        <v>0</v>
      </c>
      <c r="G179" s="152">
        <v>0</v>
      </c>
      <c r="H179" s="190">
        <v>0</v>
      </c>
      <c r="I179" s="540"/>
      <c r="J179" s="204"/>
      <c r="K179" s="233"/>
      <c r="L179" s="555" t="str">
        <f>IF(Contents!$B$2=2,"Yes","Да")</f>
        <v>Да</v>
      </c>
      <c r="M179" s="472"/>
    </row>
    <row r="180" spans="2:13" ht="30" customHeight="1">
      <c r="B180" s="306" t="str">
        <f>IF(Contents!$B$2=2,"Produced water used in the reservoir pressure maintenance system","Пластовая вода, используемая для поддержания пластового давления")</f>
        <v>Пластовая вода, используемая для поддержания пластового давления</v>
      </c>
      <c r="C180" s="221" t="str">
        <f>IF(Contents!$B$2=2,"million t","млн т")</f>
        <v>млн т</v>
      </c>
      <c r="D180" s="177">
        <v>1.2</v>
      </c>
      <c r="E180" s="177">
        <v>3.1</v>
      </c>
      <c r="F180" s="177">
        <v>5.7</v>
      </c>
      <c r="G180" s="152">
        <v>5.5</v>
      </c>
      <c r="H180" s="307">
        <v>4.8</v>
      </c>
      <c r="I180" s="573"/>
      <c r="J180" s="200" t="s">
        <v>72</v>
      </c>
      <c r="K180" s="555" t="str">
        <f>IF(Contents!$B$2=2,"No","Нет")</f>
        <v>Нет</v>
      </c>
      <c r="L180" s="555" t="str">
        <f>IF(Contents!$B$2=2,"Yes","Да")</f>
        <v>Да</v>
      </c>
      <c r="M180" s="473"/>
    </row>
    <row r="181" spans="2:13" ht="20.25" customHeight="1">
      <c r="B181" s="306"/>
      <c r="C181" s="221"/>
      <c r="D181" s="177"/>
      <c r="E181" s="177"/>
      <c r="F181" s="177"/>
      <c r="G181" s="152"/>
      <c r="H181" s="315"/>
      <c r="I181" s="573"/>
      <c r="J181" s="200"/>
      <c r="K181" s="233"/>
      <c r="L181" s="555"/>
      <c r="M181" s="473"/>
    </row>
    <row r="182" spans="2:13" ht="39" customHeight="1">
      <c r="B182" s="20" t="str">
        <f>IF(Contents!$B$2=2,"ENVIRONMENTAL PROTECTION","ПРОЧИЕ ПОКАЗАТЕЛИ")</f>
        <v>ПРОЧИЕ ПОКАЗАТЕЛИ</v>
      </c>
      <c r="C182" s="218"/>
      <c r="D182" s="136"/>
      <c r="E182" s="136"/>
      <c r="F182" s="137"/>
      <c r="G182" s="137"/>
      <c r="H182" s="259"/>
      <c r="I182" s="571"/>
      <c r="J182" s="209"/>
      <c r="K182" s="130"/>
      <c r="L182" s="529"/>
      <c r="M182" s="473"/>
    </row>
    <row r="183" spans="2:13" ht="22.5" customHeight="1">
      <c r="B183" s="79"/>
      <c r="C183" s="220"/>
      <c r="D183" s="308"/>
      <c r="E183" s="308"/>
      <c r="F183" s="309"/>
      <c r="G183" s="309"/>
      <c r="H183" s="310"/>
      <c r="I183" s="571"/>
      <c r="J183" s="311"/>
      <c r="K183" s="131"/>
      <c r="L183" s="530"/>
      <c r="M183" s="473"/>
    </row>
    <row r="184" spans="2:13" ht="22.5" customHeight="1">
      <c r="B184" s="306" t="str">
        <f>IF(Contents!$B$2=2,"Disturbed area reclamation","Рекультивация нарушенной территории")</f>
        <v>Рекультивация нарушенной территории</v>
      </c>
      <c r="C184" s="226" t="str">
        <f>IF(Contents!$B$2=2,"ha","га")</f>
        <v>га</v>
      </c>
      <c r="D184" s="160">
        <v>329</v>
      </c>
      <c r="E184" s="160">
        <v>178</v>
      </c>
      <c r="F184" s="160">
        <v>1084</v>
      </c>
      <c r="G184" s="152">
        <v>201</v>
      </c>
      <c r="H184" s="190">
        <v>732</v>
      </c>
      <c r="I184" s="540"/>
      <c r="J184" s="213" t="s">
        <v>19</v>
      </c>
      <c r="K184" s="555" t="str">
        <f>IF(Contents!$B$2=2,"Yes","Да")</f>
        <v>Да</v>
      </c>
      <c r="L184" s="555" t="str">
        <f>IF(Contents!$B$2=2,"Yes","Да")</f>
        <v>Да</v>
      </c>
      <c r="M184" s="473"/>
    </row>
    <row r="185" spans="2:13" s="17" customFormat="1" ht="22.5" customHeight="1">
      <c r="B185" s="306" t="str">
        <f>IF(Contents!$B$2=2,"Compensatory reforestation","Компенсационное лесовосстановление")</f>
        <v>Компенсационное лесовосстановление</v>
      </c>
      <c r="C185" s="226" t="str">
        <f>IF(Contents!$B$2=2,"ha","га")</f>
        <v>га</v>
      </c>
      <c r="D185" s="148" t="s">
        <v>12</v>
      </c>
      <c r="E185" s="148" t="s">
        <v>12</v>
      </c>
      <c r="F185" s="148" t="s">
        <v>12</v>
      </c>
      <c r="G185" s="312">
        <v>120</v>
      </c>
      <c r="H185" s="190">
        <v>604</v>
      </c>
      <c r="I185" s="540"/>
      <c r="J185" s="213" t="s">
        <v>20</v>
      </c>
      <c r="K185" s="555" t="str">
        <f>IF(Contents!$B$2=2,"Yes","Да")</f>
        <v>Да</v>
      </c>
      <c r="L185" s="555" t="str">
        <f>IF(Contents!$B$2=2,"Yes","Да")</f>
        <v>Да</v>
      </c>
      <c r="M185" s="472"/>
    </row>
    <row r="186" spans="2:13" ht="22.5" customHeight="1">
      <c r="B186" s="306" t="str">
        <f>IF(Contents!$B$2=2,"Release of fingerlings","Выпуск мальков")</f>
        <v>Выпуск мальков</v>
      </c>
      <c r="C186" s="221" t="str">
        <f>IF(Contents!$B$2=2,"million","млн")</f>
        <v>млн</v>
      </c>
      <c r="D186" s="163">
        <v>18</v>
      </c>
      <c r="E186" s="163">
        <v>5</v>
      </c>
      <c r="F186" s="163">
        <v>9</v>
      </c>
      <c r="G186" s="405">
        <v>3</v>
      </c>
      <c r="H186" s="406">
        <v>11</v>
      </c>
      <c r="I186" s="542"/>
      <c r="J186" s="213" t="s">
        <v>20</v>
      </c>
      <c r="K186" s="555" t="str">
        <f>IF(Contents!$B$2=2,"Yes","Да")</f>
        <v>Да</v>
      </c>
      <c r="L186" s="555" t="str">
        <f>IF(Contents!$B$2=2,"Yes","Да")</f>
        <v>Да</v>
      </c>
      <c r="M186" s="473"/>
    </row>
    <row r="187" spans="2:13" ht="22.5" customHeight="1">
      <c r="B187" s="69" t="str">
        <f>IF(Contents!$B$2=2,"Number of people trained in environmental management","Количество людей, прошедших обучение в области ООС")</f>
        <v>Количество людей, прошедших обучение в области ООС</v>
      </c>
      <c r="C187" s="221" t="s">
        <v>6</v>
      </c>
      <c r="D187" s="313">
        <v>128</v>
      </c>
      <c r="E187" s="313">
        <v>257</v>
      </c>
      <c r="F187" s="313">
        <v>191</v>
      </c>
      <c r="G187" s="152">
        <v>196</v>
      </c>
      <c r="H187" s="190">
        <v>389</v>
      </c>
      <c r="I187" s="540"/>
      <c r="J187" s="314"/>
      <c r="K187" s="555" t="str">
        <f>IF(Contents!$B$2=2,"Yes","Да")</f>
        <v>Да</v>
      </c>
      <c r="L187" s="555" t="str">
        <f>IF(Contents!$B$2=2,"No","Нет")</f>
        <v>Нет</v>
      </c>
      <c r="M187" s="473"/>
    </row>
    <row r="188" spans="2:13" s="17" customFormat="1" ht="22.5" customHeight="1">
      <c r="B188" s="32" t="str">
        <f>IF(Contents!$B$2=2,"ISO 14001:2015","Сертификация  ISO 14001:2015")</f>
        <v>Сертификация  ISO 14001:2015</v>
      </c>
      <c r="C188" s="221" t="s">
        <v>6</v>
      </c>
      <c r="D188" s="174">
        <v>7</v>
      </c>
      <c r="E188" s="170">
        <v>7</v>
      </c>
      <c r="F188" s="170">
        <v>9</v>
      </c>
      <c r="G188" s="170">
        <v>9</v>
      </c>
      <c r="H188" s="171">
        <v>11</v>
      </c>
      <c r="I188" s="541"/>
      <c r="J188" s="212"/>
      <c r="K188" s="238" t="s">
        <v>15</v>
      </c>
      <c r="L188" s="555" t="str">
        <f>IF(Contents!$B$2=2,"Yes","Да")</f>
        <v>Да</v>
      </c>
      <c r="M188" s="472"/>
    </row>
    <row r="189" spans="2:13" s="17" customFormat="1" ht="22.5" customHeight="1">
      <c r="B189" s="32" t="str">
        <f>IF(Contents!$B$2=2,"OHSAS 18001:2007 (or ISO 45001:2018)","Сертификация OHSAS 18001:2007 (или ISO 45001:2018)")</f>
        <v>Сертификация OHSAS 18001:2007 (или ISO 45001:2018)</v>
      </c>
      <c r="C189" s="221" t="s">
        <v>6</v>
      </c>
      <c r="D189" s="170">
        <v>7</v>
      </c>
      <c r="E189" s="170">
        <v>7</v>
      </c>
      <c r="F189" s="170">
        <v>10</v>
      </c>
      <c r="G189" s="170">
        <v>10</v>
      </c>
      <c r="H189" s="171">
        <v>11</v>
      </c>
      <c r="I189" s="541"/>
      <c r="J189" s="214" t="s">
        <v>21</v>
      </c>
      <c r="K189" s="238" t="s">
        <v>15</v>
      </c>
      <c r="L189" s="555" t="str">
        <f>IF(Contents!$B$2=2,"Yes","Да")</f>
        <v>Да</v>
      </c>
      <c r="M189" s="472"/>
    </row>
    <row r="190" spans="2:13" s="17" customFormat="1" ht="22.5" customHeight="1">
      <c r="B190" s="32"/>
      <c r="C190" s="221"/>
      <c r="D190" s="170"/>
      <c r="E190" s="170"/>
      <c r="F190" s="170"/>
      <c r="G190" s="170"/>
      <c r="H190" s="161"/>
      <c r="I190" s="541"/>
      <c r="J190" s="214"/>
      <c r="K190" s="238"/>
      <c r="L190" s="558"/>
      <c r="M190" s="472"/>
    </row>
    <row r="191" spans="2:13" ht="40.5" customHeight="1">
      <c r="B191" s="20" t="str">
        <f>IF(Contents!$B$2=2,"ENVIRONMENTAL EXPENSES","РАСХОДЫ НА ОХРАНУ ОКРУЖАЮЩЕЙ СРЕДЫ")</f>
        <v>РАСХОДЫ НА ОХРАНУ ОКРУЖАЮЩЕЙ СРЕДЫ</v>
      </c>
      <c r="C191" s="218"/>
      <c r="D191" s="136"/>
      <c r="E191" s="136"/>
      <c r="F191" s="137"/>
      <c r="G191" s="137"/>
      <c r="H191" s="259"/>
      <c r="I191" s="571"/>
      <c r="J191" s="209"/>
      <c r="K191" s="130"/>
      <c r="L191" s="529"/>
      <c r="M191" s="473"/>
    </row>
    <row r="192" spans="2:13" ht="20.25" customHeight="1">
      <c r="B192" s="79"/>
      <c r="C192" s="220"/>
      <c r="D192" s="308"/>
      <c r="E192" s="308"/>
      <c r="F192" s="309"/>
      <c r="G192" s="309"/>
      <c r="H192" s="310"/>
      <c r="I192" s="571"/>
      <c r="J192" s="311"/>
      <c r="K192" s="131"/>
      <c r="L192" s="530"/>
      <c r="M192" s="473"/>
    </row>
    <row r="193" spans="2:13" ht="19.5" customHeight="1">
      <c r="B193" s="294" t="str">
        <f>IF(Contents!$B$2=2,"Environmental expenses","Расходы на охрану окружающей среды")</f>
        <v>Расходы на охрану окружающей среды</v>
      </c>
      <c r="C193" s="243" t="str">
        <f>IF(Contents!$B$2=2,"RR million","млн руб.")</f>
        <v>млн руб.</v>
      </c>
      <c r="D193" s="301">
        <v>1372</v>
      </c>
      <c r="E193" s="301">
        <v>1494</v>
      </c>
      <c r="F193" s="301">
        <v>1425</v>
      </c>
      <c r="G193" s="263">
        <v>2382</v>
      </c>
      <c r="H193" s="263">
        <v>2908</v>
      </c>
      <c r="I193" s="541"/>
      <c r="J193" s="316"/>
      <c r="K193" s="562" t="str">
        <f>IF(Contents!$B$2=2,"Yes","Да")</f>
        <v>Да</v>
      </c>
      <c r="L193" s="562" t="str">
        <f>IF(Contents!$B$2=2,"Yes","Да")</f>
        <v>Да</v>
      </c>
      <c r="M193" s="473"/>
    </row>
    <row r="194" spans="2:13" ht="19.5" customHeight="1">
      <c r="B194" s="128" t="str">
        <f>IF(Contents!$B$2=2,"Air and climate","Комплексная программа климатических и экологических целей")</f>
        <v>Комплексная программа климатических и экологических целей</v>
      </c>
      <c r="C194" s="221" t="str">
        <f>IF(Contents!$B$2=2,"RR million","млн руб.")</f>
        <v>млн руб.</v>
      </c>
      <c r="D194" s="148" t="s">
        <v>12</v>
      </c>
      <c r="E194" s="148" t="s">
        <v>12</v>
      </c>
      <c r="F194" s="148" t="s">
        <v>12</v>
      </c>
      <c r="G194" s="148" t="s">
        <v>12</v>
      </c>
      <c r="H194" s="171">
        <v>1181</v>
      </c>
      <c r="I194" s="541"/>
      <c r="J194" s="212"/>
      <c r="K194" s="237"/>
      <c r="L194" s="555" t="str">
        <f>IF(Contents!$B$2=2,"No","Нет")</f>
        <v>Нет</v>
      </c>
      <c r="M194" s="473"/>
    </row>
    <row r="195" spans="2:13" ht="19.5" customHeight="1">
      <c r="B195" s="129" t="str">
        <f>IF(Contents!$B$2=2,"by type","по типу мероприятия")</f>
        <v>по типу мероприятия</v>
      </c>
      <c r="C195" s="129"/>
      <c r="D195" s="129"/>
      <c r="E195" s="129"/>
      <c r="F195" s="129"/>
      <c r="G195" s="129"/>
      <c r="H195" s="129"/>
      <c r="I195" s="527"/>
      <c r="J195" s="129"/>
      <c r="K195" s="129"/>
      <c r="L195" s="528"/>
      <c r="M195" s="473"/>
    </row>
    <row r="196" spans="2:13" ht="19.5" customHeight="1">
      <c r="B196" s="128" t="str">
        <f>IF(Contents!$B$2=2,"Air and climate","Воздух и климат")</f>
        <v>Воздух и климат</v>
      </c>
      <c r="C196" s="221" t="str">
        <f>IF(Contents!$B$2=2,"RR million","млн руб.")</f>
        <v>млн руб.</v>
      </c>
      <c r="D196" s="148" t="s">
        <v>12</v>
      </c>
      <c r="E196" s="148" t="s">
        <v>12</v>
      </c>
      <c r="F196" s="313">
        <v>101.524</v>
      </c>
      <c r="G196" s="313">
        <v>38</v>
      </c>
      <c r="H196" s="171">
        <v>234</v>
      </c>
      <c r="I196" s="541"/>
      <c r="J196" s="313"/>
      <c r="K196" s="233"/>
      <c r="L196" s="555" t="str">
        <f>IF(Contents!$B$2=2,"Yes","Да")</f>
        <v>Да</v>
      </c>
      <c r="M196" s="473"/>
    </row>
    <row r="197" spans="2:13" ht="19.5" customHeight="1">
      <c r="B197" s="128" t="str">
        <f>IF(Contents!$B$2=2,"Water","Вода")</f>
        <v>Вода</v>
      </c>
      <c r="C197" s="221" t="str">
        <f>IF(Contents!$B$2=2,"RR million","млн руб.")</f>
        <v>млн руб.</v>
      </c>
      <c r="D197" s="148" t="s">
        <v>12</v>
      </c>
      <c r="E197" s="148" t="s">
        <v>12</v>
      </c>
      <c r="F197" s="313">
        <v>562.651</v>
      </c>
      <c r="G197" s="313">
        <v>1383</v>
      </c>
      <c r="H197" s="171">
        <v>1333</v>
      </c>
      <c r="I197" s="541"/>
      <c r="J197" s="313"/>
      <c r="K197" s="233"/>
      <c r="L197" s="555" t="str">
        <f>IF(Contents!$B$2=2,"Yes","Да")</f>
        <v>Да</v>
      </c>
      <c r="M197" s="473"/>
    </row>
    <row r="198" spans="2:13" ht="19.5" customHeight="1">
      <c r="B198" s="128" t="str">
        <f>IF(Contents!$B$2=2,"Waste","Отходы")</f>
        <v>Отходы</v>
      </c>
      <c r="C198" s="221" t="str">
        <f>IF(Contents!$B$2=2,"RR million","млн руб.")</f>
        <v>млн руб.</v>
      </c>
      <c r="D198" s="148" t="s">
        <v>12</v>
      </c>
      <c r="E198" s="148" t="s">
        <v>12</v>
      </c>
      <c r="F198" s="313">
        <v>393.961</v>
      </c>
      <c r="G198" s="313">
        <v>320</v>
      </c>
      <c r="H198" s="171">
        <v>510</v>
      </c>
      <c r="I198" s="541"/>
      <c r="J198" s="313"/>
      <c r="K198" s="233"/>
      <c r="L198" s="555" t="str">
        <f>IF(Contents!$B$2=2,"Yes","Да")</f>
        <v>Да</v>
      </c>
      <c r="M198" s="473"/>
    </row>
    <row r="199" spans="2:13" ht="19.5" customHeight="1">
      <c r="B199" s="128" t="str">
        <f>IF(Contents!$B$2=2,"Land and subsoil","Земля и недра")</f>
        <v>Земля и недра</v>
      </c>
      <c r="C199" s="221" t="str">
        <f>IF(Contents!$B$2=2,"RR million","млн руб.")</f>
        <v>млн руб.</v>
      </c>
      <c r="D199" s="148" t="s">
        <v>12</v>
      </c>
      <c r="E199" s="148" t="s">
        <v>12</v>
      </c>
      <c r="F199" s="313">
        <v>85.222</v>
      </c>
      <c r="G199" s="313">
        <v>303</v>
      </c>
      <c r="H199" s="171">
        <v>402</v>
      </c>
      <c r="I199" s="541"/>
      <c r="J199" s="313"/>
      <c r="K199" s="233"/>
      <c r="L199" s="555" t="str">
        <f>IF(Contents!$B$2=2,"Yes","Да")</f>
        <v>Да</v>
      </c>
      <c r="M199" s="473"/>
    </row>
    <row r="200" spans="2:13" ht="19.5" customHeight="1">
      <c r="B200" s="128" t="str">
        <f>IF(Contents!$B$2=2,"Biodiversity","Биоразнообразие")</f>
        <v>Биоразнообразие</v>
      </c>
      <c r="C200" s="221" t="str">
        <f>IF(Contents!$B$2=2,"RR million","млн руб.")</f>
        <v>млн руб.</v>
      </c>
      <c r="D200" s="148" t="s">
        <v>12</v>
      </c>
      <c r="E200" s="148" t="s">
        <v>12</v>
      </c>
      <c r="F200" s="313">
        <v>107.669</v>
      </c>
      <c r="G200" s="313">
        <v>181</v>
      </c>
      <c r="H200" s="171">
        <v>212</v>
      </c>
      <c r="I200" s="541"/>
      <c r="J200" s="313"/>
      <c r="K200" s="233"/>
      <c r="L200" s="555" t="str">
        <f>IF(Contents!$B$2=2,"Yes","Да")</f>
        <v>Да</v>
      </c>
      <c r="M200" s="473"/>
    </row>
    <row r="201" spans="2:13" ht="19.5" customHeight="1">
      <c r="B201" s="128" t="str">
        <f>IF(Contents!$B$2=2,"Monitoring","Мониторинг")</f>
        <v>Мониторинг</v>
      </c>
      <c r="C201" s="221" t="str">
        <f>IF(Contents!$B$2=2,"RR million","млн руб.")</f>
        <v>млн руб.</v>
      </c>
      <c r="D201" s="148" t="s">
        <v>12</v>
      </c>
      <c r="E201" s="148" t="s">
        <v>12</v>
      </c>
      <c r="F201" s="313">
        <v>137.408</v>
      </c>
      <c r="G201" s="313">
        <v>134</v>
      </c>
      <c r="H201" s="171">
        <v>153</v>
      </c>
      <c r="I201" s="541"/>
      <c r="J201" s="313"/>
      <c r="K201" s="233"/>
      <c r="L201" s="555" t="str">
        <f>IF(Contents!$B$2=2,"Yes","Да")</f>
        <v>Да</v>
      </c>
      <c r="M201" s="473"/>
    </row>
    <row r="202" spans="2:13" ht="19.5" customHeight="1">
      <c r="B202" s="128" t="str">
        <f>IF(Contents!$B$2=2,"Governance","Управление")</f>
        <v>Управление</v>
      </c>
      <c r="C202" s="221" t="str">
        <f>IF(Contents!$B$2=2,"RR million","млн руб.")</f>
        <v>млн руб.</v>
      </c>
      <c r="D202" s="148" t="s">
        <v>12</v>
      </c>
      <c r="E202" s="148" t="s">
        <v>12</v>
      </c>
      <c r="F202" s="313">
        <v>21.894</v>
      </c>
      <c r="G202" s="313">
        <v>17</v>
      </c>
      <c r="H202" s="171">
        <v>59</v>
      </c>
      <c r="I202" s="541"/>
      <c r="J202" s="313"/>
      <c r="K202" s="233"/>
      <c r="L202" s="555" t="str">
        <f>IF(Contents!$B$2=2,"Yes","Да")</f>
        <v>Да</v>
      </c>
      <c r="M202" s="473"/>
    </row>
    <row r="203" spans="2:13" ht="19.5" customHeight="1">
      <c r="B203" s="128" t="str">
        <f>IF(Contents!$B$2=2,"Environmental charges","Платежи за негативное воздействие")</f>
        <v>Платежи за негативное воздействие</v>
      </c>
      <c r="C203" s="221" t="str">
        <f>IF(Contents!$B$2=2,"RR million","млн руб.")</f>
        <v>млн руб.</v>
      </c>
      <c r="D203" s="148" t="s">
        <v>12</v>
      </c>
      <c r="E203" s="148" t="s">
        <v>12</v>
      </c>
      <c r="F203" s="313">
        <v>14.085</v>
      </c>
      <c r="G203" s="313">
        <v>6</v>
      </c>
      <c r="H203" s="171">
        <v>5</v>
      </c>
      <c r="I203" s="541"/>
      <c r="J203" s="313"/>
      <c r="K203" s="233"/>
      <c r="L203" s="555" t="str">
        <f>IF(Contents!$B$2=2,"Yes","Да")</f>
        <v>Да</v>
      </c>
      <c r="M203" s="473"/>
    </row>
    <row r="204" spans="2:13" ht="19.5" customHeight="1">
      <c r="B204" s="128" t="str">
        <f>IF(Contents!$B$2=2,"Other","Прочие")</f>
        <v>Прочие</v>
      </c>
      <c r="C204" s="221" t="str">
        <f>IF(Contents!$B$2=2,"RR million","млн руб.")</f>
        <v>млн руб.</v>
      </c>
      <c r="D204" s="148" t="s">
        <v>12</v>
      </c>
      <c r="E204" s="148" t="s">
        <v>12</v>
      </c>
      <c r="F204" s="313">
        <v>0.822</v>
      </c>
      <c r="G204" s="313">
        <v>0</v>
      </c>
      <c r="H204" s="171">
        <v>0</v>
      </c>
      <c r="I204" s="541"/>
      <c r="J204" s="313"/>
      <c r="K204" s="233"/>
      <c r="L204" s="555" t="str">
        <f>IF(Contents!$B$2=2,"Yes","Да")</f>
        <v>Да</v>
      </c>
      <c r="M204" s="473"/>
    </row>
    <row r="205" spans="2:13" ht="19.5" customHeight="1">
      <c r="B205" s="294" t="str">
        <f>IF(Contents!$B$2=2,"Environmental fines","Сумма взысканий за нарушение природоохранного законодательства")</f>
        <v>Сумма взысканий за нарушение природоохранного законодательства</v>
      </c>
      <c r="C205" s="243" t="str">
        <f>IF(Contents!$B$2=2,"RR million","млн руб.")</f>
        <v>млн руб.</v>
      </c>
      <c r="D205" s="301" t="s">
        <v>12</v>
      </c>
      <c r="E205" s="407">
        <v>0.79</v>
      </c>
      <c r="F205" s="407">
        <v>0.42</v>
      </c>
      <c r="G205" s="408">
        <v>1.66</v>
      </c>
      <c r="H205" s="408">
        <v>1.4</v>
      </c>
      <c r="I205" s="596"/>
      <c r="J205" s="317" t="s">
        <v>18</v>
      </c>
      <c r="K205" s="562" t="str">
        <f>IF(Contents!$B$2=2,"Yes","Да")</f>
        <v>Да</v>
      </c>
      <c r="L205" s="562" t="str">
        <f>IF(Contents!$B$2=2,"Yes","Да")</f>
        <v>Да</v>
      </c>
      <c r="M205" s="473"/>
    </row>
    <row r="206" spans="3:13" s="17" customFormat="1" ht="19.5" customHeight="1">
      <c r="C206" s="219"/>
      <c r="D206" s="180"/>
      <c r="E206" s="180"/>
      <c r="F206" s="180"/>
      <c r="G206" s="184"/>
      <c r="H206" s="180"/>
      <c r="I206" s="546"/>
      <c r="J206" s="198"/>
      <c r="K206" s="232"/>
      <c r="L206" s="554"/>
      <c r="M206" s="472"/>
    </row>
    <row r="207" spans="3:13" ht="19.5" customHeight="1">
      <c r="C207" s="228"/>
      <c r="L207" s="522"/>
      <c r="M207" s="473"/>
    </row>
    <row r="208" spans="2:13" ht="15" customHeight="1">
      <c r="B208" s="33"/>
      <c r="C208" s="33"/>
      <c r="D208" s="33"/>
      <c r="E208" s="33"/>
      <c r="F208" s="33"/>
      <c r="G208" s="33"/>
      <c r="H208" s="33"/>
      <c r="I208" s="525"/>
      <c r="J208" s="33"/>
      <c r="K208" s="33"/>
      <c r="L208" s="559"/>
      <c r="M208" s="473"/>
    </row>
    <row r="209" spans="2:13" ht="59.25" customHeight="1">
      <c r="B209" s="560" t="str">
        <f>B216&amp;" "&amp;B217</f>
        <v>Данные по результативности и охране окружающей среды приведены в 5-летней динамике в связи с изменением метода измерения: до 2019 года данные рассчитывались исходя из 100% доли Компании в совместных предприятиях, с 2019 года – исходя из пропорциональной доли Компании в совместных предприятиях.</v>
      </c>
      <c r="C209" s="229"/>
      <c r="D209" s="229"/>
      <c r="E209" s="229"/>
      <c r="F209" s="229"/>
      <c r="G209" s="229"/>
      <c r="H209" s="229"/>
      <c r="I209" s="551"/>
      <c r="J209" s="229"/>
      <c r="K209" s="229"/>
      <c r="L209" s="551"/>
      <c r="M209" s="473"/>
    </row>
    <row r="210" spans="2:13" ht="22.5" customHeight="1">
      <c r="B210" s="560" t="str">
        <f>IF(Contents!$B$2=2,"For more information see Sustainability Reports 2019-2021.","Для получения дополнительной информации см. Отчеты об устойчивом развитии за 2019-2021 гг.")</f>
        <v>Для получения дополнительной информации см. Отчеты об устойчивом развитии за 2019-2021 гг.</v>
      </c>
      <c r="C210" s="461"/>
      <c r="D210" s="461"/>
      <c r="E210" s="461"/>
      <c r="F210" s="461"/>
      <c r="G210" s="461"/>
      <c r="H210" s="461"/>
      <c r="I210" s="583"/>
      <c r="J210" s="461"/>
      <c r="K210" s="461"/>
      <c r="L210" s="583"/>
      <c r="M210" s="239"/>
    </row>
    <row r="211" spans="10:13" ht="19.5" customHeight="1">
      <c r="J211" s="216"/>
      <c r="K211" s="240"/>
      <c r="L211" s="560"/>
      <c r="M211" s="239"/>
    </row>
    <row r="212" spans="2:13" ht="70.5" customHeight="1">
      <c r="B212" s="462"/>
      <c r="J212" s="216"/>
      <c r="K212" s="240"/>
      <c r="L212" s="560"/>
      <c r="M212" s="239"/>
    </row>
    <row r="213" spans="10:13" ht="18.75">
      <c r="J213" s="216"/>
      <c r="K213" s="241"/>
      <c r="L213" s="561"/>
      <c r="M213" s="239"/>
    </row>
    <row r="214" spans="2:13" ht="18.75">
      <c r="B214" s="463"/>
      <c r="J214" s="216"/>
      <c r="K214" s="524"/>
      <c r="L214" s="524"/>
      <c r="M214" s="524"/>
    </row>
    <row r="215" spans="2:13" ht="24.75" customHeight="1">
      <c r="B215" s="463"/>
      <c r="J215" s="216"/>
      <c r="K215" s="524"/>
      <c r="L215" s="524"/>
      <c r="M215" s="524"/>
    </row>
    <row r="216" spans="2:13" ht="18.75">
      <c r="B216" s="479" t="str">
        <f>IF(Contents!$B$2=2,"The Environmental Performance and Protection data is given in 5-year dynamics due to the change in measurement method:","Данные по результативности и охране окружающей среды приведены в 5-летней динамике в связи с изменением метода измерения:")</f>
        <v>Данные по результативности и охране окружающей среды приведены в 5-летней динамике в связи с изменением метода измерения:</v>
      </c>
      <c r="C216" s="481"/>
      <c r="D216" s="482"/>
      <c r="K216" s="524"/>
      <c r="L216" s="524"/>
      <c r="M216" s="524"/>
    </row>
    <row r="217" spans="2:13" ht="18.75">
      <c r="B217" s="480" t="str">
        <f>IF(Contents!$B$2=2,"ill 2019 data was calculated based on 100% Company's share in joint ventures, from 2019 - based on the Company’s proportional share in joint ventures.","до 2019 года данные рассчитывались исходя из 100% доли Компании в совместных предприятиях, с 2019 года – исходя из пропорциональной доли Компании в совместных предприятиях.")</f>
        <v>до 2019 года данные рассчитывались исходя из 100% доли Компании в совместных предприятиях, с 2019 года – исходя из пропорциональной доли Компании в совместных предприятиях.</v>
      </c>
      <c r="C217" s="481"/>
      <c r="D217" s="482"/>
      <c r="K217" s="524"/>
      <c r="L217" s="524"/>
      <c r="M217" s="524"/>
    </row>
    <row r="218" spans="11:13" ht="18.75">
      <c r="K218" s="524"/>
      <c r="L218" s="524"/>
      <c r="M218" s="524"/>
    </row>
    <row r="219" spans="11:13" ht="18.75">
      <c r="K219" s="524"/>
      <c r="L219" s="524"/>
      <c r="M219" s="524"/>
    </row>
    <row r="220" spans="11:13" ht="18.75">
      <c r="K220" s="524"/>
      <c r="L220" s="524"/>
      <c r="M220" s="524"/>
    </row>
    <row r="221" spans="11:13" ht="18.75">
      <c r="K221" s="524"/>
      <c r="L221" s="524"/>
      <c r="M221" s="524"/>
    </row>
    <row r="222" spans="11:13" ht="18.75">
      <c r="K222" s="524"/>
      <c r="L222" s="524"/>
      <c r="M222" s="524"/>
    </row>
    <row r="223" spans="11:13" ht="18.75">
      <c r="K223" s="524"/>
      <c r="L223" s="524"/>
      <c r="M223" s="524"/>
    </row>
    <row r="224" spans="11:13" ht="18.75">
      <c r="K224" s="524"/>
      <c r="L224" s="524"/>
      <c r="M224" s="524"/>
    </row>
    <row r="225" spans="11:13" ht="18.75">
      <c r="K225" s="524"/>
      <c r="L225" s="524"/>
      <c r="M225" s="524"/>
    </row>
    <row r="226" spans="11:13" ht="18.75">
      <c r="K226" s="524"/>
      <c r="L226" s="524"/>
      <c r="M226" s="524"/>
    </row>
    <row r="227" spans="11:13" ht="18.75">
      <c r="K227" s="524"/>
      <c r="L227" s="524"/>
      <c r="M227" s="524"/>
    </row>
    <row r="228" spans="11:13" ht="18.75">
      <c r="K228" s="524"/>
      <c r="L228" s="524"/>
      <c r="M228" s="524"/>
    </row>
    <row r="229" spans="11:13" ht="18.75">
      <c r="K229" s="524"/>
      <c r="L229" s="524"/>
      <c r="M229" s="524"/>
    </row>
    <row r="230" spans="11:13" ht="18.75">
      <c r="K230" s="524"/>
      <c r="L230" s="524"/>
      <c r="M230" s="524"/>
    </row>
    <row r="231" spans="11:13" ht="18.75">
      <c r="K231" s="524"/>
      <c r="L231" s="524"/>
      <c r="M231" s="524"/>
    </row>
  </sheetData>
  <sheetProtection/>
  <hyperlinks>
    <hyperlink ref="B1" location="Contents!A1" display="Contents!A1"/>
  </hyperlinks>
  <printOptions/>
  <pageMargins left="0.7" right="0.7" top="0.75" bottom="0.75" header="0.3" footer="0.3"/>
  <pageSetup horizontalDpi="600" verticalDpi="600" orientation="portrait" paperSize="9" scale="36" r:id="rId2"/>
  <ignoredErrors>
    <ignoredError sqref="D3" numberStoredAsText="1"/>
    <ignoredError sqref="B209 B7 B205" unlockedFormula="1"/>
  </ignoredErrors>
  <drawing r:id="rId1"/>
</worksheet>
</file>

<file path=xl/worksheets/sheet3.xml><?xml version="1.0" encoding="utf-8"?>
<worksheet xmlns="http://schemas.openxmlformats.org/spreadsheetml/2006/main" xmlns:r="http://schemas.openxmlformats.org/officeDocument/2006/relationships">
  <sheetPr codeName="Sheet4">
    <tabColor theme="7" tint="0.39998000860214233"/>
  </sheetPr>
  <dimension ref="A1:P164"/>
  <sheetViews>
    <sheetView zoomScale="80" zoomScaleNormal="80" zoomScaleSheetLayoutView="90" zoomScalePageLayoutView="0" workbookViewId="0" topLeftCell="A1">
      <pane ySplit="3" topLeftCell="A4" activePane="bottomLeft" state="frozen"/>
      <selection pane="topLeft" activeCell="A1" sqref="A1"/>
      <selection pane="bottomLeft" activeCell="A3" sqref="A3:IV3"/>
    </sheetView>
  </sheetViews>
  <sheetFormatPr defaultColWidth="9.140625" defaultRowHeight="15"/>
  <cols>
    <col min="1" max="1" width="9.140625" style="48" customWidth="1"/>
    <col min="2" max="2" width="91.00390625" style="48" customWidth="1"/>
    <col min="3" max="3" width="13.140625" style="342" customWidth="1"/>
    <col min="4" max="8" width="16.57421875" style="333" customWidth="1"/>
    <col min="9" max="9" width="16.57421875" style="139" customWidth="1"/>
    <col min="10" max="10" width="16.57421875" style="333" customWidth="1"/>
    <col min="11" max="11" width="5.00390625" style="574" customWidth="1"/>
    <col min="12" max="12" width="15.28125" style="59" customWidth="1"/>
    <col min="13" max="13" width="10.7109375" style="48" customWidth="1"/>
    <col min="14" max="14" width="91.421875" style="48" customWidth="1"/>
    <col min="15" max="16384" width="9.140625" style="48" customWidth="1"/>
  </cols>
  <sheetData>
    <row r="1" spans="2:12" ht="76.5" customHeight="1">
      <c r="B1" s="42" t="s">
        <v>11</v>
      </c>
      <c r="G1" s="334"/>
      <c r="L1" s="56"/>
    </row>
    <row r="2" spans="1:12" ht="37.5" customHeight="1">
      <c r="A2" s="49"/>
      <c r="B2" s="689" t="str">
        <f>IF(Contents!$B$2=2,"Social","Социальные показатели")</f>
        <v>Социальные показатели</v>
      </c>
      <c r="C2" s="496"/>
      <c r="D2" s="497"/>
      <c r="E2" s="498"/>
      <c r="F2" s="499"/>
      <c r="G2" s="499"/>
      <c r="H2" s="499"/>
      <c r="I2" s="500"/>
      <c r="J2" s="501"/>
      <c r="K2" s="553"/>
      <c r="L2" s="526"/>
    </row>
    <row r="3" spans="1:14" ht="51" customHeight="1">
      <c r="A3" s="49"/>
      <c r="B3" s="50"/>
      <c r="C3" s="343"/>
      <c r="D3" s="335" t="s">
        <v>4</v>
      </c>
      <c r="E3" s="335" t="s">
        <v>3</v>
      </c>
      <c r="F3" s="335" t="s">
        <v>1</v>
      </c>
      <c r="G3" s="335">
        <v>2018</v>
      </c>
      <c r="H3" s="335">
        <v>2019</v>
      </c>
      <c r="I3" s="335">
        <v>2020</v>
      </c>
      <c r="J3" s="261">
        <v>2021</v>
      </c>
      <c r="K3" s="585"/>
      <c r="L3" s="197" t="str">
        <f>IF(Contents!$B$2=2,"Standards' indices","Индексы Стандартов")</f>
        <v>Индексы Стандартов</v>
      </c>
      <c r="M3" s="550" t="str">
        <f>IF(Contents!$B$2=2,"Subject to external assurance","Внешний аудит")</f>
        <v>Внешний аудит</v>
      </c>
      <c r="N3" s="197" t="str">
        <f>IF(Contents!$B$2=2,"Notes","Примечания")</f>
        <v>Примечания</v>
      </c>
    </row>
    <row r="4" spans="1:12" ht="12.75" customHeight="1">
      <c r="A4" s="49"/>
      <c r="B4" s="52"/>
      <c r="C4" s="344"/>
      <c r="D4" s="336"/>
      <c r="E4" s="336"/>
      <c r="F4" s="336"/>
      <c r="G4" s="336"/>
      <c r="H4" s="336"/>
      <c r="L4" s="57"/>
    </row>
    <row r="5" spans="2:13" ht="41.25" customHeight="1">
      <c r="B5" s="20" t="str">
        <f>IF(Contents!$B$2=2,"PERSONNEL","ПЕРСОНАЛ")</f>
        <v>ПЕРСОНАЛ</v>
      </c>
      <c r="C5" s="343"/>
      <c r="D5" s="335"/>
      <c r="E5" s="335"/>
      <c r="F5" s="335"/>
      <c r="G5" s="335"/>
      <c r="H5" s="335"/>
      <c r="I5" s="337"/>
      <c r="J5" s="337"/>
      <c r="K5" s="598"/>
      <c r="L5" s="63"/>
      <c r="M5" s="612"/>
    </row>
    <row r="6" spans="2:14" ht="39.75" customHeight="1">
      <c r="B6" s="345" t="str">
        <f>IF(Contents!$B$2=2,"Number of employees as of the end of the year","Количество работников на конец года")</f>
        <v>Количество работников на конец года</v>
      </c>
      <c r="C6" s="346" t="s">
        <v>6</v>
      </c>
      <c r="D6" s="370">
        <v>10408</v>
      </c>
      <c r="E6" s="370">
        <v>11536</v>
      </c>
      <c r="F6" s="370">
        <v>12236</v>
      </c>
      <c r="G6" s="370">
        <v>13694</v>
      </c>
      <c r="H6" s="370">
        <v>15445</v>
      </c>
      <c r="I6" s="370">
        <v>16821</v>
      </c>
      <c r="J6" s="370">
        <v>18404</v>
      </c>
      <c r="K6" s="599"/>
      <c r="L6" s="355" t="s">
        <v>45</v>
      </c>
      <c r="M6" s="636" t="str">
        <f>IF(Contents!$B$2=2,"Yes","Да")</f>
        <v>Да</v>
      </c>
      <c r="N6" s="466"/>
    </row>
    <row r="7" spans="2:14" ht="22.5" customHeight="1">
      <c r="B7" s="129" t="str">
        <f>IF(Contents!$B$2=2,"by gender","по полу")</f>
        <v>по полу</v>
      </c>
      <c r="C7" s="347"/>
      <c r="D7" s="371"/>
      <c r="E7" s="371"/>
      <c r="F7" s="371"/>
      <c r="G7" s="371"/>
      <c r="H7" s="371"/>
      <c r="I7" s="339"/>
      <c r="J7" s="372"/>
      <c r="K7" s="565"/>
      <c r="L7" s="356" t="s">
        <v>46</v>
      </c>
      <c r="M7" s="623"/>
      <c r="N7" s="466"/>
    </row>
    <row r="8" spans="2:14" ht="22.5" customHeight="1">
      <c r="B8" s="127" t="str">
        <f>IF(Contents!$B$2=2,"Male","Мужчины")</f>
        <v>Мужчины</v>
      </c>
      <c r="C8" s="348" t="s">
        <v>6</v>
      </c>
      <c r="D8" s="373">
        <v>7677</v>
      </c>
      <c r="E8" s="373">
        <v>8629</v>
      </c>
      <c r="F8" s="373">
        <v>9196</v>
      </c>
      <c r="G8" s="373">
        <v>10931</v>
      </c>
      <c r="H8" s="373">
        <v>11825</v>
      </c>
      <c r="I8" s="374">
        <v>12920</v>
      </c>
      <c r="J8" s="375">
        <v>14317</v>
      </c>
      <c r="K8" s="577"/>
      <c r="L8" s="357"/>
      <c r="M8" s="676" t="str">
        <f>IF(Contents!$B$2=2,"Yes","Да")</f>
        <v>Да</v>
      </c>
      <c r="N8" s="466"/>
    </row>
    <row r="9" spans="2:14" ht="22.5" customHeight="1">
      <c r="B9" s="127" t="str">
        <f>IF(Contents!$B$2=2,"Female","Женщины")</f>
        <v>Женщины</v>
      </c>
      <c r="C9" s="348" t="s">
        <v>6</v>
      </c>
      <c r="D9" s="373">
        <v>2731</v>
      </c>
      <c r="E9" s="373">
        <v>2907</v>
      </c>
      <c r="F9" s="373">
        <v>3040</v>
      </c>
      <c r="G9" s="373">
        <v>3303</v>
      </c>
      <c r="H9" s="373">
        <v>3620</v>
      </c>
      <c r="I9" s="374">
        <v>3901</v>
      </c>
      <c r="J9" s="375">
        <v>4087</v>
      </c>
      <c r="K9" s="577"/>
      <c r="L9" s="357"/>
      <c r="M9" s="676" t="str">
        <f>IF(Contents!$B$2=2,"Yes","Да")</f>
        <v>Да</v>
      </c>
      <c r="N9" s="466"/>
    </row>
    <row r="10" spans="2:14" ht="22.5" customHeight="1">
      <c r="B10" s="127" t="str">
        <f>IF(Contents!$B$2=2,"Share of Male employees","Доля мужчин")</f>
        <v>Доля мужчин</v>
      </c>
      <c r="C10" s="348" t="s">
        <v>0</v>
      </c>
      <c r="D10" s="373" t="s">
        <v>7</v>
      </c>
      <c r="E10" s="373" t="s">
        <v>5</v>
      </c>
      <c r="F10" s="373">
        <v>75</v>
      </c>
      <c r="G10" s="373">
        <v>76</v>
      </c>
      <c r="H10" s="373">
        <v>77</v>
      </c>
      <c r="I10" s="176">
        <v>77</v>
      </c>
      <c r="J10" s="376">
        <v>78</v>
      </c>
      <c r="K10" s="545"/>
      <c r="L10" s="357"/>
      <c r="M10" s="676" t="str">
        <f>IF(Contents!$B$2=2,"Yes","Да")</f>
        <v>Да</v>
      </c>
      <c r="N10" s="466"/>
    </row>
    <row r="11" spans="2:14" ht="22.5" customHeight="1">
      <c r="B11" s="127" t="str">
        <f>IF(Contents!$B$2=2,"Share of Male employees in top-management","Доля мужчин в руководящих органах")</f>
        <v>Доля мужчин в руководящих органах</v>
      </c>
      <c r="C11" s="348" t="s">
        <v>0</v>
      </c>
      <c r="D11" s="373" t="s">
        <v>12</v>
      </c>
      <c r="E11" s="373" t="s">
        <v>12</v>
      </c>
      <c r="F11" s="373" t="s">
        <v>12</v>
      </c>
      <c r="G11" s="373" t="s">
        <v>12</v>
      </c>
      <c r="H11" s="373" t="s">
        <v>12</v>
      </c>
      <c r="I11" s="373" t="s">
        <v>12</v>
      </c>
      <c r="J11" s="376">
        <v>80</v>
      </c>
      <c r="K11" s="545"/>
      <c r="L11" s="357"/>
      <c r="M11" s="676" t="str">
        <f>IF(Contents!$B$2=2,"Yes","Да")</f>
        <v>Да</v>
      </c>
      <c r="N11" s="466"/>
    </row>
    <row r="12" spans="2:14" ht="22.5" customHeight="1">
      <c r="B12" s="127" t="str">
        <f>IF(Contents!$B$2=2,"Share of Female employees","Доля женщин")</f>
        <v>Доля женщин</v>
      </c>
      <c r="C12" s="348" t="s">
        <v>0</v>
      </c>
      <c r="D12" s="373" t="s">
        <v>8</v>
      </c>
      <c r="E12" s="373" t="s">
        <v>2</v>
      </c>
      <c r="F12" s="373">
        <v>25</v>
      </c>
      <c r="G12" s="373">
        <v>24</v>
      </c>
      <c r="H12" s="373">
        <v>23</v>
      </c>
      <c r="I12" s="176">
        <v>23</v>
      </c>
      <c r="J12" s="376">
        <v>22</v>
      </c>
      <c r="K12" s="545"/>
      <c r="L12" s="357"/>
      <c r="M12" s="676" t="str">
        <f>IF(Contents!$B$2=2,"Yes","Да")</f>
        <v>Да</v>
      </c>
      <c r="N12" s="466"/>
    </row>
    <row r="13" spans="2:14" ht="18.75">
      <c r="B13" s="127" t="str">
        <f>IF(Contents!$B$2=2,"Share of Female employees in top-management","Доля женщин в руководящих органах")</f>
        <v>Доля женщин в руководящих органах</v>
      </c>
      <c r="C13" s="348" t="s">
        <v>0</v>
      </c>
      <c r="D13" s="373" t="s">
        <v>12</v>
      </c>
      <c r="E13" s="373" t="s">
        <v>12</v>
      </c>
      <c r="F13" s="373" t="s">
        <v>12</v>
      </c>
      <c r="G13" s="373" t="s">
        <v>12</v>
      </c>
      <c r="H13" s="373" t="s">
        <v>12</v>
      </c>
      <c r="I13" s="373" t="s">
        <v>12</v>
      </c>
      <c r="J13" s="376">
        <v>20</v>
      </c>
      <c r="K13" s="545"/>
      <c r="M13" s="676" t="str">
        <f>IF(Contents!$B$2=2,"Yes","Да")</f>
        <v>Да</v>
      </c>
      <c r="N13" s="466"/>
    </row>
    <row r="14" spans="2:14" ht="22.5" customHeight="1">
      <c r="B14" s="129" t="str">
        <f>IF(Contents!$B$2=2,"by age","по возрасту")</f>
        <v>по возрасту</v>
      </c>
      <c r="C14" s="347"/>
      <c r="D14" s="377"/>
      <c r="E14" s="377"/>
      <c r="F14" s="377"/>
      <c r="G14" s="377"/>
      <c r="H14" s="377"/>
      <c r="I14" s="378"/>
      <c r="J14" s="372"/>
      <c r="K14" s="565"/>
      <c r="L14" s="356" t="s">
        <v>44</v>
      </c>
      <c r="M14" s="623"/>
      <c r="N14" s="466"/>
    </row>
    <row r="15" spans="2:14" ht="22.5" customHeight="1">
      <c r="B15" s="329" t="str">
        <f>IF(Contents!$B$2=2,"Under 30","До 30")</f>
        <v>До 30</v>
      </c>
      <c r="C15" s="348" t="s">
        <v>6</v>
      </c>
      <c r="D15" s="373" t="s">
        <v>12</v>
      </c>
      <c r="E15" s="373" t="s">
        <v>12</v>
      </c>
      <c r="F15" s="373">
        <v>1830</v>
      </c>
      <c r="G15" s="373">
        <v>1815</v>
      </c>
      <c r="H15" s="373">
        <v>1870</v>
      </c>
      <c r="I15" s="176">
        <v>1825</v>
      </c>
      <c r="J15" s="375">
        <v>1785</v>
      </c>
      <c r="K15" s="577"/>
      <c r="L15" s="357"/>
      <c r="M15" s="676" t="str">
        <f>IF(Contents!$B$2=2,"Yes","Да")</f>
        <v>Да</v>
      </c>
      <c r="N15" s="466"/>
    </row>
    <row r="16" spans="2:14" ht="22.5" customHeight="1">
      <c r="B16" s="332" t="str">
        <f>IF(Contents!$B$2=2,"Share of employees Under 30","Доля работников до 30")</f>
        <v>Доля работников до 30</v>
      </c>
      <c r="C16" s="348" t="s">
        <v>0</v>
      </c>
      <c r="D16" s="373">
        <v>18</v>
      </c>
      <c r="E16" s="373">
        <v>17</v>
      </c>
      <c r="F16" s="373">
        <v>15</v>
      </c>
      <c r="G16" s="373">
        <v>13</v>
      </c>
      <c r="H16" s="373">
        <v>12</v>
      </c>
      <c r="I16" s="176">
        <v>11</v>
      </c>
      <c r="J16" s="375">
        <v>10</v>
      </c>
      <c r="K16" s="577"/>
      <c r="L16" s="357"/>
      <c r="M16" s="676" t="str">
        <f>IF(Contents!$B$2=2,"Yes","Да")</f>
        <v>Да</v>
      </c>
      <c r="N16" s="466"/>
    </row>
    <row r="17" spans="2:14" ht="22.5" customHeight="1">
      <c r="B17" s="409" t="str">
        <f>IF(Contents!$B$2=2,"Male","Мужчины")</f>
        <v>Мужчины</v>
      </c>
      <c r="C17" s="348" t="s">
        <v>6</v>
      </c>
      <c r="D17" s="379" t="s">
        <v>12</v>
      </c>
      <c r="E17" s="379" t="s">
        <v>12</v>
      </c>
      <c r="F17" s="373">
        <v>1323</v>
      </c>
      <c r="G17" s="373">
        <v>1331</v>
      </c>
      <c r="H17" s="373">
        <v>1372</v>
      </c>
      <c r="I17" s="374">
        <v>1338</v>
      </c>
      <c r="J17" s="375">
        <v>1355</v>
      </c>
      <c r="K17" s="577"/>
      <c r="L17" s="357"/>
      <c r="M17" s="676" t="str">
        <f>IF(Contents!$B$2=2,"Yes","Да")</f>
        <v>Да</v>
      </c>
      <c r="N17" s="466"/>
    </row>
    <row r="18" spans="2:14" ht="22.5" customHeight="1">
      <c r="B18" s="409" t="str">
        <f>IF(Contents!$B$2=2,"Female","Женщины")</f>
        <v>Женщины</v>
      </c>
      <c r="C18" s="348" t="s">
        <v>6</v>
      </c>
      <c r="D18" s="379" t="s">
        <v>12</v>
      </c>
      <c r="E18" s="379" t="s">
        <v>12</v>
      </c>
      <c r="F18" s="373">
        <v>507</v>
      </c>
      <c r="G18" s="373">
        <v>484</v>
      </c>
      <c r="H18" s="373">
        <v>498</v>
      </c>
      <c r="I18" s="176">
        <v>487</v>
      </c>
      <c r="J18" s="375">
        <v>430</v>
      </c>
      <c r="K18" s="577"/>
      <c r="L18" s="357"/>
      <c r="M18" s="676" t="str">
        <f>IF(Contents!$B$2=2,"Yes","Да")</f>
        <v>Да</v>
      </c>
      <c r="N18" s="466"/>
    </row>
    <row r="19" spans="2:14" ht="22.5" customHeight="1">
      <c r="B19" s="410" t="str">
        <f>IF(Contents!$B$2=2,"Top-management","Руководящие органы")</f>
        <v>Руководящие органы</v>
      </c>
      <c r="C19" s="348" t="s">
        <v>6</v>
      </c>
      <c r="D19" s="379">
        <v>0</v>
      </c>
      <c r="E19" s="379">
        <v>0</v>
      </c>
      <c r="F19" s="373">
        <v>1</v>
      </c>
      <c r="G19" s="373">
        <v>1</v>
      </c>
      <c r="H19" s="373">
        <v>0</v>
      </c>
      <c r="I19" s="176">
        <v>0</v>
      </c>
      <c r="J19" s="375">
        <v>0</v>
      </c>
      <c r="K19" s="577"/>
      <c r="L19" s="357"/>
      <c r="M19" s="676" t="str">
        <f>IF(Contents!$B$2=2,"Yes","Да")</f>
        <v>Да</v>
      </c>
      <c r="N19" s="466"/>
    </row>
    <row r="20" spans="2:14" ht="22.5" customHeight="1">
      <c r="B20" s="329" t="str">
        <f>IF(Contents!$B$2=2,"30 to 50","30-50")</f>
        <v>30-50</v>
      </c>
      <c r="C20" s="348" t="s">
        <v>6</v>
      </c>
      <c r="D20" s="373" t="s">
        <v>12</v>
      </c>
      <c r="E20" s="373" t="s">
        <v>12</v>
      </c>
      <c r="F20" s="373">
        <v>8571</v>
      </c>
      <c r="G20" s="373">
        <v>9856</v>
      </c>
      <c r="H20" s="373">
        <v>11326</v>
      </c>
      <c r="I20" s="176">
        <v>12524</v>
      </c>
      <c r="J20" s="375">
        <v>13847</v>
      </c>
      <c r="K20" s="577"/>
      <c r="L20" s="357"/>
      <c r="M20" s="676" t="str">
        <f>IF(Contents!$B$2=2,"Yes","Да")</f>
        <v>Да</v>
      </c>
      <c r="N20" s="466"/>
    </row>
    <row r="21" spans="2:14" ht="22.5" customHeight="1">
      <c r="B21" s="332" t="str">
        <f>IF(Contents!$B$2=2,"Share of employees 30 to 50","Доля работников от 30 до 50")</f>
        <v>Доля работников от 30 до 50</v>
      </c>
      <c r="C21" s="348" t="s">
        <v>0</v>
      </c>
      <c r="D21" s="373">
        <v>66</v>
      </c>
      <c r="E21" s="373">
        <v>68</v>
      </c>
      <c r="F21" s="373">
        <v>70</v>
      </c>
      <c r="G21" s="373">
        <v>72</v>
      </c>
      <c r="H21" s="373">
        <v>73</v>
      </c>
      <c r="I21" s="176">
        <v>74</v>
      </c>
      <c r="J21" s="375">
        <v>75</v>
      </c>
      <c r="K21" s="577"/>
      <c r="L21" s="357"/>
      <c r="M21" s="676" t="str">
        <f>IF(Contents!$B$2=2,"Yes","Да")</f>
        <v>Да</v>
      </c>
      <c r="N21" s="466"/>
    </row>
    <row r="22" spans="2:14" ht="22.5" customHeight="1">
      <c r="B22" s="409" t="str">
        <f>IF(Contents!$B$2=2,"Male","Мужчины")</f>
        <v>Мужчины</v>
      </c>
      <c r="C22" s="348" t="s">
        <v>6</v>
      </c>
      <c r="D22" s="379" t="s">
        <v>12</v>
      </c>
      <c r="E22" s="379" t="s">
        <v>12</v>
      </c>
      <c r="F22" s="373">
        <v>6404</v>
      </c>
      <c r="G22" s="373">
        <v>7426</v>
      </c>
      <c r="H22" s="373">
        <v>8616</v>
      </c>
      <c r="I22" s="374">
        <v>9567</v>
      </c>
      <c r="J22" s="375">
        <v>10734</v>
      </c>
      <c r="K22" s="577"/>
      <c r="L22" s="357"/>
      <c r="M22" s="676" t="str">
        <f>IF(Contents!$B$2=2,"Yes","Да")</f>
        <v>Да</v>
      </c>
      <c r="N22" s="466"/>
    </row>
    <row r="23" spans="2:14" ht="22.5" customHeight="1">
      <c r="B23" s="409" t="str">
        <f>IF(Contents!$B$2=2,"Female","Женщины")</f>
        <v>Женщины</v>
      </c>
      <c r="C23" s="348" t="s">
        <v>6</v>
      </c>
      <c r="D23" s="379" t="s">
        <v>12</v>
      </c>
      <c r="E23" s="379" t="s">
        <v>12</v>
      </c>
      <c r="F23" s="373">
        <v>2167</v>
      </c>
      <c r="G23" s="373">
        <v>2430</v>
      </c>
      <c r="H23" s="373">
        <v>2710</v>
      </c>
      <c r="I23" s="374">
        <v>2957</v>
      </c>
      <c r="J23" s="375">
        <v>3113</v>
      </c>
      <c r="K23" s="577"/>
      <c r="L23" s="357"/>
      <c r="M23" s="676" t="str">
        <f>IF(Contents!$B$2=2,"Yes","Да")</f>
        <v>Да</v>
      </c>
      <c r="N23" s="466"/>
    </row>
    <row r="24" spans="2:14" ht="22.5" customHeight="1">
      <c r="B24" s="410" t="str">
        <f>IF(Contents!$B$2=2,"Top-management","Руководящие органы")</f>
        <v>Руководящие органы</v>
      </c>
      <c r="C24" s="348" t="s">
        <v>6</v>
      </c>
      <c r="D24" s="373">
        <v>139</v>
      </c>
      <c r="E24" s="373">
        <v>143</v>
      </c>
      <c r="F24" s="373">
        <v>139</v>
      </c>
      <c r="G24" s="373">
        <v>168</v>
      </c>
      <c r="H24" s="373">
        <v>178</v>
      </c>
      <c r="I24" s="176">
        <v>184</v>
      </c>
      <c r="J24" s="375">
        <v>178</v>
      </c>
      <c r="K24" s="577"/>
      <c r="L24" s="357"/>
      <c r="M24" s="676" t="str">
        <f>IF(Contents!$B$2=2,"Yes","Да")</f>
        <v>Да</v>
      </c>
      <c r="N24" s="466"/>
    </row>
    <row r="25" spans="2:14" ht="22.5" customHeight="1">
      <c r="B25" s="329" t="str">
        <f>IF(Contents!$B$2=2,"50+","Старше 50")</f>
        <v>Старше 50</v>
      </c>
      <c r="C25" s="348" t="s">
        <v>6</v>
      </c>
      <c r="D25" s="373" t="s">
        <v>12</v>
      </c>
      <c r="E25" s="373" t="s">
        <v>12</v>
      </c>
      <c r="F25" s="373">
        <v>1835</v>
      </c>
      <c r="G25" s="373">
        <v>2023</v>
      </c>
      <c r="H25" s="373">
        <v>2249</v>
      </c>
      <c r="I25" s="176">
        <v>2472</v>
      </c>
      <c r="J25" s="375">
        <v>2772</v>
      </c>
      <c r="K25" s="577"/>
      <c r="L25" s="357"/>
      <c r="M25" s="676" t="str">
        <f>IF(Contents!$B$2=2,"Yes","Да")</f>
        <v>Да</v>
      </c>
      <c r="N25" s="466"/>
    </row>
    <row r="26" spans="2:14" ht="22.5" customHeight="1">
      <c r="B26" s="332" t="str">
        <f>IF(Contents!$B$2=2,"Share of employees 50+","Доля работников старше 50")</f>
        <v>Доля работников старше 50</v>
      </c>
      <c r="C26" s="348" t="s">
        <v>0</v>
      </c>
      <c r="D26" s="373">
        <v>16</v>
      </c>
      <c r="E26" s="373">
        <v>15</v>
      </c>
      <c r="F26" s="373">
        <v>15</v>
      </c>
      <c r="G26" s="373">
        <v>15</v>
      </c>
      <c r="H26" s="373">
        <v>15</v>
      </c>
      <c r="I26" s="176">
        <v>15</v>
      </c>
      <c r="J26" s="375">
        <v>15</v>
      </c>
      <c r="K26" s="577"/>
      <c r="L26" s="357"/>
      <c r="M26" s="676" t="str">
        <f>IF(Contents!$B$2=2,"Yes","Да")</f>
        <v>Да</v>
      </c>
      <c r="N26" s="466"/>
    </row>
    <row r="27" spans="2:14" ht="22.5" customHeight="1">
      <c r="B27" s="409" t="str">
        <f>IF(Contents!$B$2=2,"Male","Мужчины")</f>
        <v>Мужчины</v>
      </c>
      <c r="C27" s="348" t="s">
        <v>6</v>
      </c>
      <c r="D27" s="379" t="s">
        <v>12</v>
      </c>
      <c r="E27" s="379" t="s">
        <v>12</v>
      </c>
      <c r="F27" s="373">
        <v>1469</v>
      </c>
      <c r="G27" s="373">
        <v>1634</v>
      </c>
      <c r="H27" s="373">
        <v>1837</v>
      </c>
      <c r="I27" s="374">
        <v>2015</v>
      </c>
      <c r="J27" s="375">
        <v>2228</v>
      </c>
      <c r="K27" s="577"/>
      <c r="L27" s="357"/>
      <c r="M27" s="676" t="str">
        <f>IF(Contents!$B$2=2,"Yes","Да")</f>
        <v>Да</v>
      </c>
      <c r="N27" s="466"/>
    </row>
    <row r="28" spans="2:14" ht="22.5" customHeight="1">
      <c r="B28" s="409" t="str">
        <f>IF(Contents!$B$2=2,"Female","Женщины")</f>
        <v>Женщины</v>
      </c>
      <c r="C28" s="348" t="s">
        <v>6</v>
      </c>
      <c r="D28" s="379" t="s">
        <v>12</v>
      </c>
      <c r="E28" s="379" t="s">
        <v>12</v>
      </c>
      <c r="F28" s="373">
        <v>366</v>
      </c>
      <c r="G28" s="373">
        <v>389</v>
      </c>
      <c r="H28" s="373">
        <v>412</v>
      </c>
      <c r="I28" s="176">
        <v>457</v>
      </c>
      <c r="J28" s="375">
        <v>544</v>
      </c>
      <c r="K28" s="577"/>
      <c r="L28" s="357"/>
      <c r="M28" s="676" t="str">
        <f>IF(Contents!$B$2=2,"Yes","Да")</f>
        <v>Да</v>
      </c>
      <c r="N28" s="466"/>
    </row>
    <row r="29" spans="2:14" ht="22.5" customHeight="1">
      <c r="B29" s="410" t="str">
        <f>IF(Contents!$B$2=2,"Top-management","Руководящие органы")</f>
        <v>Руководящие органы</v>
      </c>
      <c r="C29" s="348" t="s">
        <v>6</v>
      </c>
      <c r="D29" s="379">
        <v>41</v>
      </c>
      <c r="E29" s="379">
        <v>50</v>
      </c>
      <c r="F29" s="373">
        <v>45</v>
      </c>
      <c r="G29" s="373">
        <v>53</v>
      </c>
      <c r="H29" s="373">
        <v>52</v>
      </c>
      <c r="I29" s="176">
        <v>57</v>
      </c>
      <c r="J29" s="375">
        <v>63</v>
      </c>
      <c r="K29" s="577"/>
      <c r="L29" s="357"/>
      <c r="M29" s="676" t="str">
        <f>IF(Contents!$B$2=2,"Yes","Да")</f>
        <v>Да</v>
      </c>
      <c r="N29" s="466"/>
    </row>
    <row r="30" spans="2:14" ht="22.5" customHeight="1">
      <c r="B30" s="129" t="str">
        <f>IF(Contents!$B$2=2,"by line of work","по виду деятельности")</f>
        <v>по виду деятельности</v>
      </c>
      <c r="C30" s="347"/>
      <c r="D30" s="377"/>
      <c r="E30" s="377"/>
      <c r="F30" s="377"/>
      <c r="G30" s="377"/>
      <c r="H30" s="377"/>
      <c r="I30" s="339"/>
      <c r="J30" s="372"/>
      <c r="K30" s="565"/>
      <c r="L30" s="356" t="s">
        <v>44</v>
      </c>
      <c r="M30" s="623"/>
      <c r="N30" s="466"/>
    </row>
    <row r="31" spans="2:14" ht="22.5" customHeight="1">
      <c r="B31" s="329" t="str">
        <f>IF(Contents!$B$2=2,"Exploration and production (incl. LNG)","Разведка и добыча (в т.ч. СПГ)")</f>
        <v>Разведка и добыча (в т.ч. СПГ)</v>
      </c>
      <c r="C31" s="348" t="s">
        <v>0</v>
      </c>
      <c r="D31" s="373">
        <v>59</v>
      </c>
      <c r="E31" s="373">
        <v>58</v>
      </c>
      <c r="F31" s="373">
        <v>57</v>
      </c>
      <c r="G31" s="373">
        <v>58</v>
      </c>
      <c r="H31" s="373">
        <v>59</v>
      </c>
      <c r="I31" s="176">
        <v>59</v>
      </c>
      <c r="J31" s="376">
        <v>58</v>
      </c>
      <c r="K31" s="545"/>
      <c r="L31" s="357"/>
      <c r="M31" s="676" t="str">
        <f>IF(Contents!$B$2=2,"Yes","Да")</f>
        <v>Да</v>
      </c>
      <c r="N31" s="466"/>
    </row>
    <row r="32" spans="2:14" ht="22.5" customHeight="1">
      <c r="B32" s="329" t="str">
        <f>IF(Contents!$B$2=2,"Marketing and transportation","Реализация и транспортировка")</f>
        <v>Реализация и транспортировка</v>
      </c>
      <c r="C32" s="348" t="s">
        <v>0</v>
      </c>
      <c r="D32" s="373">
        <v>19</v>
      </c>
      <c r="E32" s="373">
        <v>20</v>
      </c>
      <c r="F32" s="373">
        <v>19</v>
      </c>
      <c r="G32" s="373">
        <v>18</v>
      </c>
      <c r="H32" s="373">
        <v>18</v>
      </c>
      <c r="I32" s="176">
        <v>17</v>
      </c>
      <c r="J32" s="376">
        <v>18</v>
      </c>
      <c r="K32" s="545"/>
      <c r="L32" s="357"/>
      <c r="M32" s="676" t="str">
        <f>IF(Contents!$B$2=2,"Yes","Да")</f>
        <v>Да</v>
      </c>
      <c r="N32" s="466"/>
    </row>
    <row r="33" spans="2:14" ht="22.5" customHeight="1">
      <c r="B33" s="329" t="str">
        <f>IF(Contents!$B$2=2,"Processing","Переработка")</f>
        <v>Переработка</v>
      </c>
      <c r="C33" s="348" t="s">
        <v>0</v>
      </c>
      <c r="D33" s="373">
        <v>12</v>
      </c>
      <c r="E33" s="373">
        <v>11</v>
      </c>
      <c r="F33" s="373">
        <v>11</v>
      </c>
      <c r="G33" s="373">
        <v>11</v>
      </c>
      <c r="H33" s="373">
        <v>9</v>
      </c>
      <c r="I33" s="176">
        <v>8</v>
      </c>
      <c r="J33" s="376">
        <v>8</v>
      </c>
      <c r="K33" s="545"/>
      <c r="L33" s="357"/>
      <c r="M33" s="676" t="str">
        <f>IF(Contents!$B$2=2,"Yes","Да")</f>
        <v>Да</v>
      </c>
      <c r="N33" s="466"/>
    </row>
    <row r="34" spans="2:14" ht="22.5" customHeight="1">
      <c r="B34" s="329" t="str">
        <f>IF(Contents!$B$2=2,"Administrative personnel","Административный персонал")</f>
        <v>Административный персонал</v>
      </c>
      <c r="C34" s="348" t="s">
        <v>0</v>
      </c>
      <c r="D34" s="373">
        <v>6</v>
      </c>
      <c r="E34" s="373">
        <v>6</v>
      </c>
      <c r="F34" s="373">
        <v>7</v>
      </c>
      <c r="G34" s="373">
        <v>7</v>
      </c>
      <c r="H34" s="373">
        <v>6</v>
      </c>
      <c r="I34" s="176">
        <v>6</v>
      </c>
      <c r="J34" s="376">
        <v>6</v>
      </c>
      <c r="K34" s="545"/>
      <c r="L34" s="357"/>
      <c r="M34" s="676" t="str">
        <f>IF(Contents!$B$2=2,"Yes","Да")</f>
        <v>Да</v>
      </c>
      <c r="N34" s="466"/>
    </row>
    <row r="35" spans="2:14" ht="22.5" customHeight="1">
      <c r="B35" s="329" t="str">
        <f>IF(Contents!$B$2=2,"Power supply","Энергообеспечение")</f>
        <v>Энергообеспечение</v>
      </c>
      <c r="C35" s="348" t="s">
        <v>0</v>
      </c>
      <c r="D35" s="373">
        <v>0</v>
      </c>
      <c r="E35" s="373">
        <v>4</v>
      </c>
      <c r="F35" s="373">
        <v>5</v>
      </c>
      <c r="G35" s="373">
        <v>5</v>
      </c>
      <c r="H35" s="373">
        <v>6</v>
      </c>
      <c r="I35" s="176">
        <v>7</v>
      </c>
      <c r="J35" s="376">
        <v>7</v>
      </c>
      <c r="K35" s="545"/>
      <c r="L35" s="357"/>
      <c r="M35" s="676" t="str">
        <f>IF(Contents!$B$2=2,"Yes","Да")</f>
        <v>Да</v>
      </c>
      <c r="N35" s="466"/>
    </row>
    <row r="36" spans="2:16" ht="22.5" customHeight="1">
      <c r="B36" s="329" t="str">
        <f>IF(Contents!$B$2=2,"Auxiliary services","Вспомогательное производство")</f>
        <v>Вспомогательное производство</v>
      </c>
      <c r="C36" s="348" t="s">
        <v>0</v>
      </c>
      <c r="D36" s="373">
        <v>4</v>
      </c>
      <c r="E36" s="373">
        <v>1</v>
      </c>
      <c r="F36" s="373">
        <v>1</v>
      </c>
      <c r="G36" s="373">
        <v>1</v>
      </c>
      <c r="H36" s="373">
        <v>2</v>
      </c>
      <c r="I36" s="176">
        <v>3</v>
      </c>
      <c r="J36" s="376">
        <v>3</v>
      </c>
      <c r="K36" s="545"/>
      <c r="L36" s="357"/>
      <c r="M36" s="676" t="str">
        <f>IF(Contents!$B$2=2,"Yes","Да")</f>
        <v>Да</v>
      </c>
      <c r="N36" s="466"/>
      <c r="P36" s="19"/>
    </row>
    <row r="37" spans="2:14" ht="22.5" customHeight="1">
      <c r="B37" s="129" t="str">
        <f>IF(Contents!$B$2=2,"by type of employment contract","по типу договора о найме")</f>
        <v>по типу договора о найме</v>
      </c>
      <c r="C37" s="347"/>
      <c r="D37" s="377"/>
      <c r="E37" s="377"/>
      <c r="F37" s="377"/>
      <c r="G37" s="377"/>
      <c r="H37" s="377"/>
      <c r="I37" s="378"/>
      <c r="J37" s="372"/>
      <c r="K37" s="565"/>
      <c r="L37" s="356" t="s">
        <v>46</v>
      </c>
      <c r="M37" s="623"/>
      <c r="N37" s="466"/>
    </row>
    <row r="38" spans="2:14" ht="22.5" customHeight="1">
      <c r="B38" s="330" t="str">
        <f>IF(Contents!$B$2=2,"Permanent","По бессрочному договору")</f>
        <v>По бессрочному договору</v>
      </c>
      <c r="C38" s="348" t="s">
        <v>6</v>
      </c>
      <c r="D38" s="373">
        <v>9623</v>
      </c>
      <c r="E38" s="373">
        <v>10523</v>
      </c>
      <c r="F38" s="373">
        <v>11070</v>
      </c>
      <c r="G38" s="373">
        <v>12594</v>
      </c>
      <c r="H38" s="373">
        <v>14040</v>
      </c>
      <c r="I38" s="374">
        <v>15152</v>
      </c>
      <c r="J38" s="375">
        <v>16686</v>
      </c>
      <c r="K38" s="577"/>
      <c r="L38" s="357"/>
      <c r="M38" s="676" t="str">
        <f>IF(Contents!$B$2=2,"Yes","Да")</f>
        <v>Да</v>
      </c>
      <c r="N38" s="466"/>
    </row>
    <row r="39" spans="2:14" ht="22.5" customHeight="1">
      <c r="B39" s="331" t="str">
        <f>IF(Contents!$B$2=2,"Male","Мужчины")</f>
        <v>Мужчины</v>
      </c>
      <c r="C39" s="348" t="s">
        <v>6</v>
      </c>
      <c r="D39" s="379" t="s">
        <v>12</v>
      </c>
      <c r="E39" s="379" t="s">
        <v>12</v>
      </c>
      <c r="F39" s="373">
        <v>8469</v>
      </c>
      <c r="G39" s="373">
        <v>9669</v>
      </c>
      <c r="H39" s="373">
        <v>10870</v>
      </c>
      <c r="I39" s="374">
        <v>11776</v>
      </c>
      <c r="J39" s="375">
        <v>13175</v>
      </c>
      <c r="K39" s="577"/>
      <c r="L39" s="357"/>
      <c r="M39" s="676" t="str">
        <f>IF(Contents!$B$2=2,"Yes","Да")</f>
        <v>Да</v>
      </c>
      <c r="N39" s="466"/>
    </row>
    <row r="40" spans="2:14" ht="22.5" customHeight="1">
      <c r="B40" s="331" t="str">
        <f>IF(Contents!$B$2=2,"Female","Женщины")</f>
        <v>Женщины</v>
      </c>
      <c r="C40" s="348" t="s">
        <v>6</v>
      </c>
      <c r="D40" s="379" t="s">
        <v>12</v>
      </c>
      <c r="E40" s="379" t="s">
        <v>12</v>
      </c>
      <c r="F40" s="373">
        <v>2601</v>
      </c>
      <c r="G40" s="373">
        <v>2925</v>
      </c>
      <c r="H40" s="373">
        <v>3170</v>
      </c>
      <c r="I40" s="374">
        <v>3376</v>
      </c>
      <c r="J40" s="375">
        <v>3511</v>
      </c>
      <c r="K40" s="577"/>
      <c r="L40" s="357"/>
      <c r="M40" s="676" t="str">
        <f>IF(Contents!$B$2=2,"Yes","Да")</f>
        <v>Да</v>
      </c>
      <c r="N40" s="466"/>
    </row>
    <row r="41" spans="2:14" ht="22.5" customHeight="1">
      <c r="B41" s="330" t="str">
        <f>IF(Contents!$B$2=2,"Fixed-term","По срочному договору")</f>
        <v>По срочному договору</v>
      </c>
      <c r="C41" s="348" t="s">
        <v>6</v>
      </c>
      <c r="D41" s="373">
        <v>785</v>
      </c>
      <c r="E41" s="373">
        <v>1013</v>
      </c>
      <c r="F41" s="373">
        <v>1166</v>
      </c>
      <c r="G41" s="373">
        <v>1100</v>
      </c>
      <c r="H41" s="373">
        <v>1405</v>
      </c>
      <c r="I41" s="374">
        <v>1669</v>
      </c>
      <c r="J41" s="375">
        <v>1718</v>
      </c>
      <c r="K41" s="577"/>
      <c r="L41" s="357"/>
      <c r="M41" s="676" t="str">
        <f>IF(Contents!$B$2=2,"Yes","Да")</f>
        <v>Да</v>
      </c>
      <c r="N41" s="466"/>
    </row>
    <row r="42" spans="2:14" ht="22.5" customHeight="1">
      <c r="B42" s="331" t="str">
        <f>IF(Contents!$B$2=2,"Male","Мужчины")</f>
        <v>Мужчины</v>
      </c>
      <c r="C42" s="348" t="s">
        <v>6</v>
      </c>
      <c r="D42" s="379" t="s">
        <v>12</v>
      </c>
      <c r="E42" s="379" t="s">
        <v>12</v>
      </c>
      <c r="F42" s="373">
        <v>727</v>
      </c>
      <c r="G42" s="373">
        <v>722</v>
      </c>
      <c r="H42" s="373">
        <v>955</v>
      </c>
      <c r="I42" s="374">
        <v>1144</v>
      </c>
      <c r="J42" s="375">
        <v>1142</v>
      </c>
      <c r="K42" s="577"/>
      <c r="L42" s="357"/>
      <c r="M42" s="676" t="str">
        <f>IF(Contents!$B$2=2,"Yes","Да")</f>
        <v>Да</v>
      </c>
      <c r="N42" s="466"/>
    </row>
    <row r="43" spans="2:14" ht="22.5" customHeight="1">
      <c r="B43" s="331" t="str">
        <f>IF(Contents!$B$2=2,"Female","Женщины")</f>
        <v>Женщины</v>
      </c>
      <c r="C43" s="348" t="s">
        <v>6</v>
      </c>
      <c r="D43" s="379" t="s">
        <v>12</v>
      </c>
      <c r="E43" s="379" t="s">
        <v>12</v>
      </c>
      <c r="F43" s="373">
        <v>439</v>
      </c>
      <c r="G43" s="373">
        <v>378</v>
      </c>
      <c r="H43" s="373">
        <v>450</v>
      </c>
      <c r="I43" s="176">
        <v>525</v>
      </c>
      <c r="J43" s="375">
        <v>576</v>
      </c>
      <c r="K43" s="577"/>
      <c r="L43" s="357"/>
      <c r="M43" s="676" t="str">
        <f>IF(Contents!$B$2=2,"Yes","Да")</f>
        <v>Да</v>
      </c>
      <c r="N43" s="466"/>
    </row>
    <row r="44" spans="2:14" ht="22.5" customHeight="1">
      <c r="B44" s="129" t="str">
        <f>IF(Contents!$B$2=2,"by region","по региону")</f>
        <v>по региону</v>
      </c>
      <c r="C44" s="347"/>
      <c r="D44" s="377"/>
      <c r="E44" s="377"/>
      <c r="F44" s="377"/>
      <c r="G44" s="377"/>
      <c r="H44" s="377"/>
      <c r="I44" s="378"/>
      <c r="J44" s="372"/>
      <c r="K44" s="565"/>
      <c r="L44" s="356" t="s">
        <v>46</v>
      </c>
      <c r="M44" s="623"/>
      <c r="N44" s="466"/>
    </row>
    <row r="45" spans="2:14" ht="22.5" customHeight="1">
      <c r="B45" s="330" t="str">
        <f>IF(Contents!$B$2=2,"Russian Federation","Российская Федерация")</f>
        <v>Российская Федерация</v>
      </c>
      <c r="C45" s="348" t="s">
        <v>6</v>
      </c>
      <c r="D45" s="373">
        <v>10307</v>
      </c>
      <c r="E45" s="373">
        <v>11427</v>
      </c>
      <c r="F45" s="373">
        <v>12102</v>
      </c>
      <c r="G45" s="373">
        <v>13532</v>
      </c>
      <c r="H45" s="373">
        <v>15239</v>
      </c>
      <c r="I45" s="374">
        <v>16588</v>
      </c>
      <c r="J45" s="375">
        <v>18139</v>
      </c>
      <c r="K45" s="577"/>
      <c r="L45" s="357"/>
      <c r="M45" s="676" t="str">
        <f>IF(Contents!$B$2=2,"Yes","Да")</f>
        <v>Да</v>
      </c>
      <c r="N45" s="466"/>
    </row>
    <row r="46" spans="2:14" ht="22.5" customHeight="1">
      <c r="B46" s="66" t="str">
        <f>IF(Contents!$B$2=2,"Yamal-Nenets Autonomous Region","Ямало-Ненецкий автономный округ")</f>
        <v>Ямало-Ненецкий автономный округ</v>
      </c>
      <c r="C46" s="348" t="s">
        <v>6</v>
      </c>
      <c r="D46" s="373">
        <v>6509</v>
      </c>
      <c r="E46" s="373">
        <v>7281</v>
      </c>
      <c r="F46" s="373">
        <v>7916</v>
      </c>
      <c r="G46" s="373">
        <v>8815</v>
      </c>
      <c r="H46" s="373">
        <v>9647</v>
      </c>
      <c r="I46" s="374">
        <v>10127</v>
      </c>
      <c r="J46" s="375">
        <v>10950</v>
      </c>
      <c r="K46" s="577"/>
      <c r="L46" s="357"/>
      <c r="M46" s="676" t="str">
        <f>IF(Contents!$B$2=2,"Yes","Да")</f>
        <v>Да</v>
      </c>
      <c r="N46" s="466"/>
    </row>
    <row r="47" spans="2:14" ht="22.5" customHeight="1">
      <c r="B47" s="66" t="str">
        <f>IF(Contents!$B$2=2,"Moscow and Moscow Region","Москва и Московская область")</f>
        <v>Москва и Московская область</v>
      </c>
      <c r="C47" s="348" t="s">
        <v>6</v>
      </c>
      <c r="D47" s="373">
        <v>1499</v>
      </c>
      <c r="E47" s="373">
        <v>1759</v>
      </c>
      <c r="F47" s="373">
        <v>1605</v>
      </c>
      <c r="G47" s="373">
        <v>1766</v>
      </c>
      <c r="H47" s="373">
        <v>2092</v>
      </c>
      <c r="I47" s="374">
        <v>2386</v>
      </c>
      <c r="J47" s="375">
        <v>2596</v>
      </c>
      <c r="K47" s="577"/>
      <c r="L47" s="357"/>
      <c r="M47" s="676" t="str">
        <f>IF(Contents!$B$2=2,"Yes","Да")</f>
        <v>Да</v>
      </c>
      <c r="N47" s="466"/>
    </row>
    <row r="48" spans="2:14" ht="22.5" customHeight="1">
      <c r="B48" s="66" t="str">
        <f>IF(Contents!$B$2=2,"Chelyabinsk Region","Челябинская область")</f>
        <v>Челябинская область</v>
      </c>
      <c r="C48" s="348" t="s">
        <v>6</v>
      </c>
      <c r="D48" s="373">
        <v>920</v>
      </c>
      <c r="E48" s="373">
        <v>935</v>
      </c>
      <c r="F48" s="373">
        <v>954</v>
      </c>
      <c r="G48" s="373">
        <v>970</v>
      </c>
      <c r="H48" s="373">
        <v>1191</v>
      </c>
      <c r="I48" s="374">
        <v>1288</v>
      </c>
      <c r="J48" s="375">
        <v>1290</v>
      </c>
      <c r="K48" s="577"/>
      <c r="L48" s="357"/>
      <c r="M48" s="676" t="str">
        <f>IF(Contents!$B$2=2,"Yes","Да")</f>
        <v>Да</v>
      </c>
      <c r="N48" s="466"/>
    </row>
    <row r="49" spans="2:14" ht="22.5" customHeight="1">
      <c r="B49" s="66" t="str">
        <f>IF(Contents!$B$2=2,"St. Petersburg and Leningrad Region","Санкт-Петербург и Ленинградская область")</f>
        <v>Санкт-Петербург и Ленинградская область</v>
      </c>
      <c r="C49" s="348" t="s">
        <v>6</v>
      </c>
      <c r="D49" s="373">
        <v>533</v>
      </c>
      <c r="E49" s="373">
        <v>546</v>
      </c>
      <c r="F49" s="373">
        <v>632</v>
      </c>
      <c r="G49" s="373">
        <v>803</v>
      </c>
      <c r="H49" s="373">
        <v>906</v>
      </c>
      <c r="I49" s="176">
        <v>978</v>
      </c>
      <c r="J49" s="375">
        <v>1115</v>
      </c>
      <c r="K49" s="577"/>
      <c r="L49" s="357"/>
      <c r="M49" s="676" t="str">
        <f>IF(Contents!$B$2=2,"Yes","Да")</f>
        <v>Да</v>
      </c>
      <c r="N49" s="466"/>
    </row>
    <row r="50" spans="2:14" ht="22.5" customHeight="1">
      <c r="B50" s="66" t="str">
        <f>IF(Contents!$B$2=2,"Tyumen Region","Тюменская область")</f>
        <v>Тюменская область</v>
      </c>
      <c r="C50" s="348" t="s">
        <v>6</v>
      </c>
      <c r="D50" s="373">
        <v>204</v>
      </c>
      <c r="E50" s="373">
        <v>214</v>
      </c>
      <c r="F50" s="373">
        <v>232</v>
      </c>
      <c r="G50" s="373">
        <v>300</v>
      </c>
      <c r="H50" s="373">
        <v>419</v>
      </c>
      <c r="I50" s="176">
        <v>546</v>
      </c>
      <c r="J50" s="375">
        <v>714</v>
      </c>
      <c r="K50" s="577"/>
      <c r="L50" s="357"/>
      <c r="M50" s="676" t="str">
        <f>IF(Contents!$B$2=2,"Yes","Да")</f>
        <v>Да</v>
      </c>
      <c r="N50" s="466"/>
    </row>
    <row r="51" spans="2:14" ht="22.5" customHeight="1">
      <c r="B51" s="66" t="str">
        <f>IF(Contents!$B$2=2,"Rostov Region","Ростовская область")</f>
        <v>Ростовская область</v>
      </c>
      <c r="C51" s="348" t="s">
        <v>6</v>
      </c>
      <c r="D51" s="373">
        <v>189</v>
      </c>
      <c r="E51" s="373">
        <v>193</v>
      </c>
      <c r="F51" s="373">
        <v>208</v>
      </c>
      <c r="G51" s="373">
        <v>204</v>
      </c>
      <c r="H51" s="373">
        <v>202</v>
      </c>
      <c r="I51" s="176">
        <v>214</v>
      </c>
      <c r="J51" s="376">
        <v>208</v>
      </c>
      <c r="K51" s="545"/>
      <c r="L51" s="357"/>
      <c r="M51" s="676" t="str">
        <f>IF(Contents!$B$2=2,"Yes","Да")</f>
        <v>Да</v>
      </c>
      <c r="N51" s="466"/>
    </row>
    <row r="52" spans="2:14" ht="22.5" customHeight="1">
      <c r="B52" s="66" t="str">
        <f>IF(Contents!$B$2=2,"Kostroma Region","Костромская область")</f>
        <v>Костромская область</v>
      </c>
      <c r="C52" s="348" t="s">
        <v>6</v>
      </c>
      <c r="D52" s="373">
        <v>180</v>
      </c>
      <c r="E52" s="373">
        <v>188</v>
      </c>
      <c r="F52" s="373">
        <v>192</v>
      </c>
      <c r="G52" s="373">
        <v>197</v>
      </c>
      <c r="H52" s="373">
        <v>195</v>
      </c>
      <c r="I52" s="176">
        <v>202</v>
      </c>
      <c r="J52" s="376">
        <v>201</v>
      </c>
      <c r="K52" s="545"/>
      <c r="L52" s="357"/>
      <c r="M52" s="676" t="str">
        <f>IF(Contents!$B$2=2,"Yes","Да")</f>
        <v>Да</v>
      </c>
      <c r="N52" s="466"/>
    </row>
    <row r="53" spans="2:14" ht="22.5" customHeight="1">
      <c r="B53" s="66" t="str">
        <f>IF(Contents!$B$2=2,"Volgograd Region","Волгоградская область")</f>
        <v>Волгоградская область</v>
      </c>
      <c r="C53" s="348" t="s">
        <v>6</v>
      </c>
      <c r="D53" s="373">
        <v>197</v>
      </c>
      <c r="E53" s="373">
        <v>190</v>
      </c>
      <c r="F53" s="373">
        <v>181</v>
      </c>
      <c r="G53" s="373">
        <v>186</v>
      </c>
      <c r="H53" s="373">
        <v>191</v>
      </c>
      <c r="I53" s="176">
        <v>201</v>
      </c>
      <c r="J53" s="376">
        <v>203</v>
      </c>
      <c r="K53" s="545"/>
      <c r="L53" s="357"/>
      <c r="M53" s="676" t="str">
        <f>IF(Contents!$B$2=2,"Yes","Да")</f>
        <v>Да</v>
      </c>
      <c r="N53" s="466"/>
    </row>
    <row r="54" spans="2:14" ht="22.5" customHeight="1">
      <c r="B54" s="66" t="str">
        <f>IF(Contents!$B$2=2,"Murmansk Region","Мурманская область")</f>
        <v>Мурманская область</v>
      </c>
      <c r="C54" s="348" t="s">
        <v>6</v>
      </c>
      <c r="D54" s="373">
        <v>24</v>
      </c>
      <c r="E54" s="373">
        <v>68</v>
      </c>
      <c r="F54" s="373">
        <v>137</v>
      </c>
      <c r="G54" s="373">
        <v>172</v>
      </c>
      <c r="H54" s="373">
        <v>264</v>
      </c>
      <c r="I54" s="176">
        <v>474</v>
      </c>
      <c r="J54" s="376">
        <v>663</v>
      </c>
      <c r="K54" s="545"/>
      <c r="L54" s="357"/>
      <c r="M54" s="676" t="str">
        <f>IF(Contents!$B$2=2,"Yes","Да")</f>
        <v>Да</v>
      </c>
      <c r="N54" s="466"/>
    </row>
    <row r="55" spans="2:14" ht="22.5" customHeight="1">
      <c r="B55" s="66" t="str">
        <f>IF(Contents!$B$2=2,"Khanty-Mansiysk Autonomous Region","Ханты-Мансийский автономный округ")</f>
        <v>Ханты-Мансийский автономный округ</v>
      </c>
      <c r="C55" s="348" t="s">
        <v>6</v>
      </c>
      <c r="D55" s="373">
        <v>0</v>
      </c>
      <c r="E55" s="373">
        <v>0</v>
      </c>
      <c r="F55" s="373">
        <v>0</v>
      </c>
      <c r="G55" s="373">
        <v>67</v>
      </c>
      <c r="H55" s="373">
        <v>65</v>
      </c>
      <c r="I55" s="176">
        <v>63</v>
      </c>
      <c r="J55" s="376">
        <v>64</v>
      </c>
      <c r="K55" s="545"/>
      <c r="L55" s="357"/>
      <c r="M55" s="676" t="str">
        <f>IF(Contents!$B$2=2,"Yes","Да")</f>
        <v>Да</v>
      </c>
      <c r="N55" s="466"/>
    </row>
    <row r="56" spans="2:14" ht="22.5" customHeight="1">
      <c r="B56" s="66" t="str">
        <f>IF(Contents!$B$2=2,"Perm Territory","Пермский край")</f>
        <v>Пермский край</v>
      </c>
      <c r="C56" s="348" t="s">
        <v>6</v>
      </c>
      <c r="D56" s="373">
        <v>19</v>
      </c>
      <c r="E56" s="373">
        <v>21</v>
      </c>
      <c r="F56" s="373">
        <v>21</v>
      </c>
      <c r="G56" s="373">
        <v>22</v>
      </c>
      <c r="H56" s="373">
        <v>21</v>
      </c>
      <c r="I56" s="176">
        <v>22</v>
      </c>
      <c r="J56" s="376">
        <v>23</v>
      </c>
      <c r="K56" s="545"/>
      <c r="L56" s="357"/>
      <c r="M56" s="676" t="str">
        <f>IF(Contents!$B$2=2,"Yes","Да")</f>
        <v>Да</v>
      </c>
      <c r="N56" s="466"/>
    </row>
    <row r="57" spans="2:14" ht="22.5" customHeight="1">
      <c r="B57" s="66" t="str">
        <f>IF(Contents!$B$2=2,"Astrakhan Region","Астраханская область")</f>
        <v>Астраханская область</v>
      </c>
      <c r="C57" s="348" t="s">
        <v>6</v>
      </c>
      <c r="D57" s="373">
        <v>21</v>
      </c>
      <c r="E57" s="373">
        <v>19</v>
      </c>
      <c r="F57" s="373">
        <v>18</v>
      </c>
      <c r="G57" s="373">
        <v>18</v>
      </c>
      <c r="H57" s="373">
        <v>19</v>
      </c>
      <c r="I57" s="176">
        <v>20</v>
      </c>
      <c r="J57" s="376">
        <v>20</v>
      </c>
      <c r="K57" s="545"/>
      <c r="L57" s="357"/>
      <c r="M57" s="676" t="str">
        <f>IF(Contents!$B$2=2,"Yes","Да")</f>
        <v>Да</v>
      </c>
      <c r="N57" s="466"/>
    </row>
    <row r="58" spans="2:14" ht="22.5" customHeight="1">
      <c r="B58" s="66" t="str">
        <f>IF(Contents!$B$2=2,"Krasnodar Territory","Краснодарский край")</f>
        <v>Краснодарский край</v>
      </c>
      <c r="C58" s="348" t="s">
        <v>6</v>
      </c>
      <c r="D58" s="373">
        <v>0</v>
      </c>
      <c r="E58" s="373">
        <v>0</v>
      </c>
      <c r="F58" s="373">
        <v>0</v>
      </c>
      <c r="G58" s="373">
        <v>4</v>
      </c>
      <c r="H58" s="373">
        <v>6</v>
      </c>
      <c r="I58" s="176">
        <v>7</v>
      </c>
      <c r="J58" s="376">
        <v>4</v>
      </c>
      <c r="K58" s="545"/>
      <c r="L58" s="357"/>
      <c r="M58" s="676" t="str">
        <f>IF(Contents!$B$2=2,"Yes","Да")</f>
        <v>Да</v>
      </c>
      <c r="N58" s="466"/>
    </row>
    <row r="59" spans="2:14" ht="22.5" customHeight="1">
      <c r="B59" s="66" t="str">
        <f>IF(Contents!$B$2=2,"Samara Region","Самарская область")</f>
        <v>Самарская область</v>
      </c>
      <c r="C59" s="348" t="s">
        <v>6</v>
      </c>
      <c r="D59" s="373">
        <v>1</v>
      </c>
      <c r="E59" s="373">
        <v>2</v>
      </c>
      <c r="F59" s="373">
        <v>3</v>
      </c>
      <c r="G59" s="373">
        <v>3</v>
      </c>
      <c r="H59" s="373">
        <v>5</v>
      </c>
      <c r="I59" s="176">
        <v>8</v>
      </c>
      <c r="J59" s="376">
        <v>18</v>
      </c>
      <c r="K59" s="545"/>
      <c r="L59" s="357"/>
      <c r="M59" s="676" t="str">
        <f>IF(Contents!$B$2=2,"Yes","Да")</f>
        <v>Да</v>
      </c>
      <c r="N59" s="466"/>
    </row>
    <row r="60" spans="2:14" ht="22.5" customHeight="1">
      <c r="B60" s="66" t="str">
        <f>IF(Contents!$B$2=2,"Arkhangelsk Region","Архангельская область")</f>
        <v>Архангельская область</v>
      </c>
      <c r="C60" s="348" t="s">
        <v>6</v>
      </c>
      <c r="D60" s="373">
        <v>3</v>
      </c>
      <c r="E60" s="373">
        <v>3</v>
      </c>
      <c r="F60" s="373">
        <v>3</v>
      </c>
      <c r="G60" s="373">
        <v>3</v>
      </c>
      <c r="H60" s="373">
        <v>3</v>
      </c>
      <c r="I60" s="176">
        <v>3</v>
      </c>
      <c r="J60" s="376">
        <v>4</v>
      </c>
      <c r="K60" s="545"/>
      <c r="L60" s="357"/>
      <c r="M60" s="676" t="str">
        <f>IF(Contents!$B$2=2,"Yes","Да")</f>
        <v>Да</v>
      </c>
      <c r="N60" s="466"/>
    </row>
    <row r="61" spans="2:14" ht="22.5" customHeight="1">
      <c r="B61" s="66" t="str">
        <f>IF(Contents!$B$2=2,"Kamchatka Territory","Камчатский край")</f>
        <v>Камчатский край</v>
      </c>
      <c r="C61" s="348" t="s">
        <v>6</v>
      </c>
      <c r="D61" s="373">
        <v>0</v>
      </c>
      <c r="E61" s="373">
        <v>0</v>
      </c>
      <c r="F61" s="373">
        <v>0</v>
      </c>
      <c r="G61" s="373">
        <v>2</v>
      </c>
      <c r="H61" s="373">
        <v>3</v>
      </c>
      <c r="I61" s="176">
        <v>4</v>
      </c>
      <c r="J61" s="376">
        <v>14</v>
      </c>
      <c r="K61" s="545"/>
      <c r="L61" s="357"/>
      <c r="M61" s="676" t="str">
        <f>IF(Contents!$B$2=2,"Yes","Да")</f>
        <v>Да</v>
      </c>
      <c r="N61" s="466"/>
    </row>
    <row r="62" spans="2:14" ht="22.5" customHeight="1">
      <c r="B62" s="66" t="str">
        <f>IF(Contents!$B$2=2,"Republic of Bashkortostan","Башкортостан республика")</f>
        <v>Башкортостан республика</v>
      </c>
      <c r="C62" s="348" t="s">
        <v>6</v>
      </c>
      <c r="D62" s="373">
        <v>0</v>
      </c>
      <c r="E62" s="373">
        <v>0</v>
      </c>
      <c r="F62" s="373">
        <v>0</v>
      </c>
      <c r="G62" s="373">
        <v>0</v>
      </c>
      <c r="H62" s="373">
        <v>9</v>
      </c>
      <c r="I62" s="176">
        <v>20</v>
      </c>
      <c r="J62" s="376">
        <v>17</v>
      </c>
      <c r="K62" s="545"/>
      <c r="L62" s="357"/>
      <c r="M62" s="676" t="str">
        <f>IF(Contents!$B$2=2,"Yes","Да")</f>
        <v>Да</v>
      </c>
      <c r="N62" s="466"/>
    </row>
    <row r="63" spans="2:14" ht="22.5" customHeight="1">
      <c r="B63" s="66" t="str">
        <f>IF(Contents!$B$2=2,"Novosibirsk Region","Новосибирская область")</f>
        <v>Новосибирская область</v>
      </c>
      <c r="C63" s="348" t="s">
        <v>6</v>
      </c>
      <c r="D63" s="373">
        <v>0</v>
      </c>
      <c r="E63" s="373">
        <v>0</v>
      </c>
      <c r="F63" s="373">
        <v>0</v>
      </c>
      <c r="G63" s="373">
        <v>0</v>
      </c>
      <c r="H63" s="373">
        <v>1</v>
      </c>
      <c r="I63" s="176">
        <v>1</v>
      </c>
      <c r="J63" s="376">
        <v>1</v>
      </c>
      <c r="K63" s="545"/>
      <c r="L63" s="357"/>
      <c r="M63" s="676" t="str">
        <f>IF(Contents!$B$2=2,"Yes","Да")</f>
        <v>Да</v>
      </c>
      <c r="N63" s="466"/>
    </row>
    <row r="64" spans="2:14" ht="22.5" customHeight="1">
      <c r="B64" s="66" t="str">
        <f>IF(Contents!$B$2=2,"Stavropol Territory","Ставропольский край")</f>
        <v>Ставропольский край</v>
      </c>
      <c r="C64" s="348" t="s">
        <v>6</v>
      </c>
      <c r="D64" s="373">
        <v>8</v>
      </c>
      <c r="E64" s="373">
        <v>8</v>
      </c>
      <c r="F64" s="373">
        <v>0</v>
      </c>
      <c r="G64" s="373">
        <v>0</v>
      </c>
      <c r="H64" s="373">
        <v>0</v>
      </c>
      <c r="I64" s="176">
        <v>0</v>
      </c>
      <c r="J64" s="376">
        <v>0</v>
      </c>
      <c r="K64" s="545"/>
      <c r="L64" s="357"/>
      <c r="M64" s="676" t="str">
        <f>IF(Contents!$B$2=2,"Yes","Да")</f>
        <v>Да</v>
      </c>
      <c r="N64" s="466"/>
    </row>
    <row r="65" spans="2:14" ht="22.5" customHeight="1">
      <c r="B65" s="66" t="str">
        <f>IF(Contents!$B$2=2,"Sverdlovsk Region","Свердловская область")</f>
        <v>Свердловская область</v>
      </c>
      <c r="C65" s="349" t="s">
        <v>6</v>
      </c>
      <c r="D65" s="313">
        <v>0</v>
      </c>
      <c r="E65" s="313">
        <v>0</v>
      </c>
      <c r="F65" s="313">
        <v>0</v>
      </c>
      <c r="G65" s="313">
        <v>0</v>
      </c>
      <c r="H65" s="313">
        <v>0</v>
      </c>
      <c r="I65" s="176">
        <v>10</v>
      </c>
      <c r="J65" s="376">
        <v>12</v>
      </c>
      <c r="K65" s="545"/>
      <c r="L65" s="357"/>
      <c r="M65" s="676" t="str">
        <f>IF(Contents!$B$2=2,"Yes","Да")</f>
        <v>Да</v>
      </c>
      <c r="N65" s="466"/>
    </row>
    <row r="66" spans="2:14" ht="22.5" customHeight="1">
      <c r="B66" s="66" t="str">
        <f>IF(Contents!$B$2=2,"Tver region","Тверская область")</f>
        <v>Тверская область</v>
      </c>
      <c r="C66" s="349" t="s">
        <v>6</v>
      </c>
      <c r="D66" s="313">
        <v>0</v>
      </c>
      <c r="E66" s="313">
        <v>0</v>
      </c>
      <c r="F66" s="313">
        <v>0</v>
      </c>
      <c r="G66" s="313">
        <v>0</v>
      </c>
      <c r="H66" s="313">
        <v>0</v>
      </c>
      <c r="I66" s="176">
        <v>6</v>
      </c>
      <c r="J66" s="376">
        <v>9</v>
      </c>
      <c r="K66" s="545"/>
      <c r="L66" s="357"/>
      <c r="M66" s="676" t="str">
        <f>IF(Contents!$B$2=2,"Yes","Да")</f>
        <v>Да</v>
      </c>
      <c r="N66" s="466"/>
    </row>
    <row r="67" spans="2:14" ht="22.5" customHeight="1">
      <c r="B67" s="66" t="str">
        <f>IF(Contents!$B$2=2,"Tula Region","Тульская область")</f>
        <v>Тульская область</v>
      </c>
      <c r="C67" s="349" t="s">
        <v>6</v>
      </c>
      <c r="D67" s="313">
        <v>0</v>
      </c>
      <c r="E67" s="313">
        <v>0</v>
      </c>
      <c r="F67" s="313">
        <v>0</v>
      </c>
      <c r="G67" s="313">
        <v>0</v>
      </c>
      <c r="H67" s="313">
        <v>0</v>
      </c>
      <c r="I67" s="176">
        <v>6</v>
      </c>
      <c r="J67" s="376">
        <v>7</v>
      </c>
      <c r="K67" s="545"/>
      <c r="L67" s="357"/>
      <c r="M67" s="676" t="str">
        <f>IF(Contents!$B$2=2,"Yes","Да")</f>
        <v>Да</v>
      </c>
      <c r="N67" s="466"/>
    </row>
    <row r="68" spans="2:14" ht="22.5" customHeight="1">
      <c r="B68" s="66" t="str">
        <f>IF(Contents!$B$2=2,"Republic of Tatarstan","Татарстан республика")</f>
        <v>Татарстан республика</v>
      </c>
      <c r="C68" s="349" t="s">
        <v>6</v>
      </c>
      <c r="D68" s="313">
        <v>0</v>
      </c>
      <c r="E68" s="313">
        <v>0</v>
      </c>
      <c r="F68" s="313">
        <v>0</v>
      </c>
      <c r="G68" s="313">
        <v>0</v>
      </c>
      <c r="H68" s="313">
        <v>0</v>
      </c>
      <c r="I68" s="176">
        <v>1</v>
      </c>
      <c r="J68" s="376">
        <v>6</v>
      </c>
      <c r="K68" s="545"/>
      <c r="L68" s="357"/>
      <c r="M68" s="676" t="str">
        <f>IF(Contents!$B$2=2,"Yes","Да")</f>
        <v>Да</v>
      </c>
      <c r="N68" s="466"/>
    </row>
    <row r="69" spans="2:14" ht="22.5" customHeight="1">
      <c r="B69" s="66" t="str">
        <f>IF(Contents!$B$2=2,"Republic of Mari El","Марий Эл республика")</f>
        <v>Марий Эл республика</v>
      </c>
      <c r="C69" s="349" t="s">
        <v>6</v>
      </c>
      <c r="D69" s="313">
        <v>0</v>
      </c>
      <c r="E69" s="313">
        <v>0</v>
      </c>
      <c r="F69" s="313">
        <v>0</v>
      </c>
      <c r="G69" s="313">
        <v>0</v>
      </c>
      <c r="H69" s="313">
        <v>0</v>
      </c>
      <c r="I69" s="176">
        <v>1</v>
      </c>
      <c r="J69" s="376">
        <v>0</v>
      </c>
      <c r="K69" s="545"/>
      <c r="L69" s="357"/>
      <c r="M69" s="676" t="str">
        <f>IF(Contents!$B$2=2,"Yes","Да")</f>
        <v>Да</v>
      </c>
      <c r="N69" s="466"/>
    </row>
    <row r="70" spans="2:14" ht="22.5" customHeight="1">
      <c r="B70" s="330" t="str">
        <f>IF(Contents!$B$2=2,"Other countries","Прочие страны")</f>
        <v>Прочие страны</v>
      </c>
      <c r="C70" s="348" t="s">
        <v>6</v>
      </c>
      <c r="D70" s="373">
        <v>101</v>
      </c>
      <c r="E70" s="373">
        <v>109</v>
      </c>
      <c r="F70" s="373">
        <v>134</v>
      </c>
      <c r="G70" s="373">
        <v>162</v>
      </c>
      <c r="H70" s="373">
        <v>206</v>
      </c>
      <c r="I70" s="176">
        <v>233</v>
      </c>
      <c r="J70" s="376">
        <v>265</v>
      </c>
      <c r="K70" s="545"/>
      <c r="L70" s="357"/>
      <c r="M70" s="676" t="str">
        <f>IF(Contents!$B$2=2,"Yes","Да")</f>
        <v>Да</v>
      </c>
      <c r="N70" s="466"/>
    </row>
    <row r="71" spans="2:14" ht="22.5" customHeight="1">
      <c r="B71" s="129" t="str">
        <f>IF(Contents!$B$2=2,"Share of personnel with disability","Доля персонала с ограниченными возможностями")</f>
        <v>Доля персонала с ограниченными возможностями</v>
      </c>
      <c r="C71" s="347"/>
      <c r="D71" s="371"/>
      <c r="E71" s="371"/>
      <c r="F71" s="371"/>
      <c r="G71" s="371"/>
      <c r="H71" s="371"/>
      <c r="I71" s="339"/>
      <c r="J71" s="339"/>
      <c r="K71" s="545"/>
      <c r="L71" s="356"/>
      <c r="M71" s="623"/>
      <c r="N71" s="466"/>
    </row>
    <row r="72" spans="2:14" ht="22.5" customHeight="1">
      <c r="B72" s="329" t="str">
        <f>IF(Contents!$B$2=2,"Yamal-Nenets Autonomous Region","Ямало-Ненецкий автономный округ")</f>
        <v>Ямало-Ненецкий автономный округ</v>
      </c>
      <c r="C72" s="348" t="s">
        <v>0</v>
      </c>
      <c r="D72" s="379" t="s">
        <v>12</v>
      </c>
      <c r="E72" s="379" t="s">
        <v>12</v>
      </c>
      <c r="F72" s="379" t="s">
        <v>12</v>
      </c>
      <c r="G72" s="379" t="s">
        <v>12</v>
      </c>
      <c r="H72" s="379" t="s">
        <v>12</v>
      </c>
      <c r="I72" s="379" t="s">
        <v>12</v>
      </c>
      <c r="J72" s="376">
        <v>0.37</v>
      </c>
      <c r="K72" s="545"/>
      <c r="L72" s="357"/>
      <c r="M72" s="637" t="str">
        <f>IF(Contents!$B$2=2,"No","Нет")</f>
        <v>Нет</v>
      </c>
      <c r="N72" s="466"/>
    </row>
    <row r="73" spans="2:14" ht="22.5" customHeight="1">
      <c r="B73" s="329" t="str">
        <f>IF(Contents!$B$2=2,"Moscow and Moscow Region","Москва и Московская область")</f>
        <v>Москва и Московская область</v>
      </c>
      <c r="C73" s="348" t="s">
        <v>0</v>
      </c>
      <c r="D73" s="379" t="s">
        <v>12</v>
      </c>
      <c r="E73" s="379" t="s">
        <v>12</v>
      </c>
      <c r="F73" s="379" t="s">
        <v>12</v>
      </c>
      <c r="G73" s="379" t="s">
        <v>12</v>
      </c>
      <c r="H73" s="379" t="s">
        <v>12</v>
      </c>
      <c r="I73" s="379" t="s">
        <v>12</v>
      </c>
      <c r="J73" s="376">
        <v>0.92</v>
      </c>
      <c r="K73" s="545"/>
      <c r="L73" s="357"/>
      <c r="M73" s="678" t="str">
        <f>IF(Contents!$B$2=2,"No","Нет")</f>
        <v>Нет</v>
      </c>
      <c r="N73" s="466"/>
    </row>
    <row r="74" spans="2:14" ht="22.5" customHeight="1">
      <c r="B74" s="329" t="str">
        <f>IF(Contents!$B$2=2,"St. Petersburg and Leningrad Region","Санкт-Петербург и Ленинградская область")</f>
        <v>Санкт-Петербург и Ленинградская область</v>
      </c>
      <c r="C74" s="348" t="s">
        <v>0</v>
      </c>
      <c r="D74" s="379" t="s">
        <v>12</v>
      </c>
      <c r="E74" s="379" t="s">
        <v>12</v>
      </c>
      <c r="F74" s="379" t="s">
        <v>12</v>
      </c>
      <c r="G74" s="379" t="s">
        <v>12</v>
      </c>
      <c r="H74" s="379" t="s">
        <v>12</v>
      </c>
      <c r="I74" s="379" t="s">
        <v>12</v>
      </c>
      <c r="J74" s="376">
        <v>0.09</v>
      </c>
      <c r="K74" s="545"/>
      <c r="L74" s="357"/>
      <c r="M74" s="678" t="str">
        <f>IF(Contents!$B$2=2,"No","Нет")</f>
        <v>Нет</v>
      </c>
      <c r="N74" s="466"/>
    </row>
    <row r="75" spans="2:14" ht="22.5" customHeight="1">
      <c r="B75" s="329" t="str">
        <f>IF(Contents!$B$2=2,"Kostroma Region","Костромская область")</f>
        <v>Костромская область</v>
      </c>
      <c r="C75" s="348" t="s">
        <v>0</v>
      </c>
      <c r="D75" s="379" t="s">
        <v>12</v>
      </c>
      <c r="E75" s="379" t="s">
        <v>12</v>
      </c>
      <c r="F75" s="379" t="s">
        <v>12</v>
      </c>
      <c r="G75" s="379" t="s">
        <v>12</v>
      </c>
      <c r="H75" s="379" t="s">
        <v>12</v>
      </c>
      <c r="I75" s="379" t="s">
        <v>12</v>
      </c>
      <c r="J75" s="376">
        <v>3.48</v>
      </c>
      <c r="K75" s="545"/>
      <c r="L75" s="357"/>
      <c r="M75" s="678" t="str">
        <f>IF(Contents!$B$2=2,"No","Нет")</f>
        <v>Нет</v>
      </c>
      <c r="N75" s="466"/>
    </row>
    <row r="76" spans="2:14" ht="22.5" customHeight="1">
      <c r="B76" s="329" t="str">
        <f>IF(Contents!$B$2=2,"Chelyabinsk Region","Челябинская область")</f>
        <v>Челябинская область</v>
      </c>
      <c r="C76" s="348" t="s">
        <v>0</v>
      </c>
      <c r="D76" s="379" t="s">
        <v>12</v>
      </c>
      <c r="E76" s="379" t="s">
        <v>12</v>
      </c>
      <c r="F76" s="379" t="s">
        <v>12</v>
      </c>
      <c r="G76" s="379" t="s">
        <v>12</v>
      </c>
      <c r="H76" s="379" t="s">
        <v>12</v>
      </c>
      <c r="I76" s="379" t="s">
        <v>12</v>
      </c>
      <c r="J76" s="376">
        <v>1.24</v>
      </c>
      <c r="K76" s="545"/>
      <c r="L76" s="357"/>
      <c r="M76" s="678" t="str">
        <f>IF(Contents!$B$2=2,"No","Нет")</f>
        <v>Нет</v>
      </c>
      <c r="N76" s="466"/>
    </row>
    <row r="77" spans="2:14" ht="22.5" customHeight="1">
      <c r="B77" s="39" t="str">
        <f>IF(Contents!$B$2=2,"Employee turnover","Текучесть кадров")</f>
        <v>Текучесть кадров</v>
      </c>
      <c r="C77" s="347" t="s">
        <v>0</v>
      </c>
      <c r="D77" s="377" t="s">
        <v>12</v>
      </c>
      <c r="E77" s="377" t="s">
        <v>12</v>
      </c>
      <c r="F77" s="371">
        <v>6</v>
      </c>
      <c r="G77" s="371">
        <v>7</v>
      </c>
      <c r="H77" s="371">
        <v>8</v>
      </c>
      <c r="I77" s="339">
        <v>6</v>
      </c>
      <c r="J77" s="339">
        <v>8</v>
      </c>
      <c r="K77" s="545"/>
      <c r="L77" s="356" t="s">
        <v>47</v>
      </c>
      <c r="M77" s="635" t="str">
        <f>IF(Contents!$B$2=2,"Yes","Да")</f>
        <v>Да</v>
      </c>
      <c r="N77" s="466"/>
    </row>
    <row r="78" spans="2:14" ht="22.5" customHeight="1">
      <c r="B78" s="39" t="str">
        <f>IF(Contents!$B$2=2,"Personnel hired","Персонал принятый в разбивке по полу")</f>
        <v>Персонал принятый в разбивке по полу</v>
      </c>
      <c r="C78" s="347" t="s">
        <v>6</v>
      </c>
      <c r="D78" s="371">
        <v>2326</v>
      </c>
      <c r="E78" s="371">
        <v>2196</v>
      </c>
      <c r="F78" s="371">
        <v>1542</v>
      </c>
      <c r="G78" s="371">
        <v>1840</v>
      </c>
      <c r="H78" s="371">
        <v>2818</v>
      </c>
      <c r="I78" s="380">
        <v>2388</v>
      </c>
      <c r="J78" s="380">
        <v>2998</v>
      </c>
      <c r="K78" s="577"/>
      <c r="L78" s="356" t="s">
        <v>47</v>
      </c>
      <c r="M78" s="677" t="str">
        <f>IF(Contents!$B$2=2,"Yes","Да")</f>
        <v>Да</v>
      </c>
      <c r="N78" s="466"/>
    </row>
    <row r="79" spans="2:14" ht="22.5" customHeight="1">
      <c r="B79" s="367" t="str">
        <f>IF(Contents!$B$2=2,"Male","Мужчины")</f>
        <v>Мужчины</v>
      </c>
      <c r="C79" s="348" t="s">
        <v>6</v>
      </c>
      <c r="D79" s="379" t="s">
        <v>12</v>
      </c>
      <c r="E79" s="379" t="s">
        <v>12</v>
      </c>
      <c r="F79" s="373">
        <v>1156</v>
      </c>
      <c r="G79" s="373">
        <v>1365</v>
      </c>
      <c r="H79" s="373">
        <v>2155</v>
      </c>
      <c r="I79" s="374">
        <v>1800</v>
      </c>
      <c r="J79" s="375">
        <v>2410</v>
      </c>
      <c r="K79" s="577"/>
      <c r="L79" s="357"/>
      <c r="M79" s="676" t="str">
        <f>IF(Contents!$B$2=2,"Yes","Да")</f>
        <v>Да</v>
      </c>
      <c r="N79" s="466"/>
    </row>
    <row r="80" spans="2:14" ht="22.5" customHeight="1">
      <c r="B80" s="367" t="str">
        <f>IF(Contents!$B$2=2,"Female","Женщины")</f>
        <v>Женщины</v>
      </c>
      <c r="C80" s="348" t="s">
        <v>6</v>
      </c>
      <c r="D80" s="379" t="s">
        <v>12</v>
      </c>
      <c r="E80" s="379" t="s">
        <v>12</v>
      </c>
      <c r="F80" s="373">
        <v>386</v>
      </c>
      <c r="G80" s="373">
        <v>475</v>
      </c>
      <c r="H80" s="373">
        <v>663</v>
      </c>
      <c r="I80" s="176">
        <v>588</v>
      </c>
      <c r="J80" s="375">
        <v>588</v>
      </c>
      <c r="K80" s="577"/>
      <c r="L80" s="357"/>
      <c r="M80" s="676" t="str">
        <f>IF(Contents!$B$2=2,"Yes","Да")</f>
        <v>Да</v>
      </c>
      <c r="N80" s="466"/>
    </row>
    <row r="81" spans="2:14" ht="22.5" customHeight="1">
      <c r="B81" s="39" t="str">
        <f>IF(Contents!$B$2=2,"Employees on a parental leave","Количество работников, которые ушли в отпуска по беременности и родам и в отпуска по уходу за ребенком или вернулись из этих отпусков")</f>
        <v>Количество работников, которые ушли в отпуска по беременности и родам и в отпуска по уходу за ребенком или вернулись из этих отпусков</v>
      </c>
      <c r="C81" s="347" t="s">
        <v>6</v>
      </c>
      <c r="D81" s="371">
        <v>129</v>
      </c>
      <c r="E81" s="371">
        <v>153</v>
      </c>
      <c r="F81" s="371">
        <v>133</v>
      </c>
      <c r="G81" s="371">
        <v>145</v>
      </c>
      <c r="H81" s="371">
        <v>146</v>
      </c>
      <c r="I81" s="339">
        <v>148</v>
      </c>
      <c r="J81" s="339">
        <v>164</v>
      </c>
      <c r="K81" s="545"/>
      <c r="L81" s="356" t="s">
        <v>48</v>
      </c>
      <c r="M81" s="677" t="str">
        <f>IF(Contents!$B$2=2,"Yes","Да")</f>
        <v>Да</v>
      </c>
      <c r="N81" s="466"/>
    </row>
    <row r="82" spans="2:14" ht="22.5" customHeight="1">
      <c r="B82" s="329" t="str">
        <f>IF(Contents!$B$2=2,"Male","Мужчины")</f>
        <v>Мужчины</v>
      </c>
      <c r="C82" s="348" t="s">
        <v>6</v>
      </c>
      <c r="D82" s="379" t="s">
        <v>12</v>
      </c>
      <c r="E82" s="379" t="s">
        <v>12</v>
      </c>
      <c r="F82" s="373">
        <v>2</v>
      </c>
      <c r="G82" s="373">
        <v>5</v>
      </c>
      <c r="H82" s="373">
        <v>6</v>
      </c>
      <c r="I82" s="176">
        <v>8</v>
      </c>
      <c r="J82" s="376">
        <v>12</v>
      </c>
      <c r="K82" s="545"/>
      <c r="L82" s="357"/>
      <c r="M82" s="676" t="str">
        <f>IF(Contents!$B$2=2,"Yes","Да")</f>
        <v>Да</v>
      </c>
      <c r="N82" s="466"/>
    </row>
    <row r="83" spans="2:14" ht="22.5" customHeight="1">
      <c r="B83" s="329" t="str">
        <f>IF(Contents!$B$2=2,"Female","Женщины")</f>
        <v>Женщины</v>
      </c>
      <c r="C83" s="348" t="s">
        <v>6</v>
      </c>
      <c r="D83" s="379" t="s">
        <v>12</v>
      </c>
      <c r="E83" s="379" t="s">
        <v>12</v>
      </c>
      <c r="F83" s="373">
        <v>131</v>
      </c>
      <c r="G83" s="373">
        <v>140</v>
      </c>
      <c r="H83" s="373">
        <v>140</v>
      </c>
      <c r="I83" s="176">
        <v>140</v>
      </c>
      <c r="J83" s="376">
        <v>152</v>
      </c>
      <c r="K83" s="545"/>
      <c r="L83" s="357"/>
      <c r="M83" s="676" t="str">
        <f>IF(Contents!$B$2=2,"Yes","Да")</f>
        <v>Да</v>
      </c>
      <c r="N83" s="466"/>
    </row>
    <row r="84" spans="2:14" ht="22.5" customHeight="1">
      <c r="B84" s="39" t="str">
        <f>IF(Contents!$B$2=2,"Minimum compensation","Минимальная оплата труда")</f>
        <v>Минимальная оплата труда</v>
      </c>
      <c r="C84" s="347"/>
      <c r="D84" s="377"/>
      <c r="E84" s="377"/>
      <c r="F84" s="377"/>
      <c r="G84" s="377"/>
      <c r="H84" s="377"/>
      <c r="I84" s="339"/>
      <c r="J84" s="372"/>
      <c r="K84" s="565"/>
      <c r="L84" s="356" t="s">
        <v>49</v>
      </c>
      <c r="M84" s="623"/>
      <c r="N84" s="466"/>
    </row>
    <row r="85" spans="2:14" ht="22.5" customHeight="1">
      <c r="B85" s="329" t="str">
        <f>IF(Contents!$B$2=2,"Moscow","Москва")</f>
        <v>Москва</v>
      </c>
      <c r="C85" s="348" t="str">
        <f>IF(Contents!$B$2=2,"RR ","руб.")</f>
        <v>руб.</v>
      </c>
      <c r="D85" s="373">
        <v>28500</v>
      </c>
      <c r="E85" s="373">
        <v>30500</v>
      </c>
      <c r="F85" s="373">
        <v>38236</v>
      </c>
      <c r="G85" s="373">
        <v>39765</v>
      </c>
      <c r="H85" s="373">
        <v>41753</v>
      </c>
      <c r="I85" s="374">
        <v>41753</v>
      </c>
      <c r="J85" s="375">
        <v>45511</v>
      </c>
      <c r="K85" s="577"/>
      <c r="L85" s="357"/>
      <c r="M85" s="637" t="str">
        <f>IF(Contents!$B$2=2,"No","Нет")</f>
        <v>Нет</v>
      </c>
      <c r="N85" s="466"/>
    </row>
    <row r="86" spans="2:14" ht="22.5" customHeight="1">
      <c r="B86" s="329" t="str">
        <f>IF(Contents!$B$2=2,"Yamal-Nenets Autonomous Region","Ямало-Ненецкий автономный округ")</f>
        <v>Ямало-Ненецкий автономный округ</v>
      </c>
      <c r="C86" s="348" t="str">
        <f>IF(Contents!$B$2=2,"RR ","руб.")</f>
        <v>руб.</v>
      </c>
      <c r="D86" s="373">
        <v>21900</v>
      </c>
      <c r="E86" s="373">
        <v>23400</v>
      </c>
      <c r="F86" s="373">
        <v>28340</v>
      </c>
      <c r="G86" s="373">
        <v>29560</v>
      </c>
      <c r="H86" s="373">
        <v>31038</v>
      </c>
      <c r="I86" s="374">
        <v>31038</v>
      </c>
      <c r="J86" s="375">
        <v>33831</v>
      </c>
      <c r="K86" s="577"/>
      <c r="L86" s="357"/>
      <c r="M86" s="637" t="str">
        <f>IF(Contents!$B$2=2,"No","Нет")</f>
        <v>Нет</v>
      </c>
      <c r="N86" s="466"/>
    </row>
    <row r="87" spans="2:14" ht="22.5" customHeight="1">
      <c r="B87" s="39" t="str">
        <f>IF(Contents!$B$2=2,"Trade unions","Профсоюзные организации")</f>
        <v>Профсоюзные организации</v>
      </c>
      <c r="C87" s="347"/>
      <c r="D87" s="377"/>
      <c r="E87" s="377"/>
      <c r="F87" s="377"/>
      <c r="G87" s="377"/>
      <c r="H87" s="377"/>
      <c r="I87" s="339"/>
      <c r="J87" s="372"/>
      <c r="K87" s="565"/>
      <c r="L87" s="356"/>
      <c r="M87" s="623"/>
      <c r="N87" s="466"/>
    </row>
    <row r="88" spans="2:14" ht="22.5" customHeight="1">
      <c r="B88" s="54" t="str">
        <f>IF(Contents!$B$2=2,"Allocation to the support of trade unions","Отчисления средств на поддержку профсоюзов")</f>
        <v>Отчисления средств на поддержку профсоюзов</v>
      </c>
      <c r="C88" s="348" t="str">
        <f>IF(Contents!$B$2=2,"RR mln","млн руб.")</f>
        <v>млн руб.</v>
      </c>
      <c r="D88" s="381">
        <v>4.6</v>
      </c>
      <c r="E88" s="381">
        <v>4.9</v>
      </c>
      <c r="F88" s="381">
        <v>5.1</v>
      </c>
      <c r="G88" s="381">
        <v>5.2</v>
      </c>
      <c r="H88" s="381">
        <v>5.2</v>
      </c>
      <c r="I88" s="176">
        <v>4.4</v>
      </c>
      <c r="J88" s="382">
        <v>5.2</v>
      </c>
      <c r="K88" s="600"/>
      <c r="L88" s="357"/>
      <c r="M88" s="637" t="str">
        <f>IF(Contents!$B$2=2,"No","Нет")</f>
        <v>Нет</v>
      </c>
      <c r="N88" s="466"/>
    </row>
    <row r="89" spans="2:14" ht="22.5" customHeight="1">
      <c r="B89" s="54" t="str">
        <f>IF(Contents!$B$2=2,"Membership of trade unions","Членство в профсоюзах")</f>
        <v>Членство в профсоюзах</v>
      </c>
      <c r="C89" s="348" t="s">
        <v>0</v>
      </c>
      <c r="D89" s="379" t="s">
        <v>12</v>
      </c>
      <c r="E89" s="379" t="s">
        <v>12</v>
      </c>
      <c r="F89" s="373">
        <v>48</v>
      </c>
      <c r="G89" s="373">
        <v>59</v>
      </c>
      <c r="H89" s="373">
        <v>62</v>
      </c>
      <c r="I89" s="176">
        <v>59</v>
      </c>
      <c r="J89" s="383">
        <v>62</v>
      </c>
      <c r="K89" s="576"/>
      <c r="L89" s="357"/>
      <c r="M89" s="676" t="str">
        <f>IF(Contents!$B$2=2,"Yes","Да")</f>
        <v>Да</v>
      </c>
      <c r="N89" s="466"/>
    </row>
    <row r="90" spans="2:14" ht="22.5" customHeight="1">
      <c r="B90" s="39" t="str">
        <f>IF(Contents!$B$2=2,"Employees under collective bargaining agreements","Общая численность работников, охваченных коллективным договором")</f>
        <v>Общая численность работников, охваченных коллективным договором</v>
      </c>
      <c r="C90" s="347" t="s">
        <v>0</v>
      </c>
      <c r="D90" s="377" t="s">
        <v>12</v>
      </c>
      <c r="E90" s="377" t="s">
        <v>12</v>
      </c>
      <c r="F90" s="371">
        <v>97</v>
      </c>
      <c r="G90" s="371">
        <v>97</v>
      </c>
      <c r="H90" s="371">
        <v>93</v>
      </c>
      <c r="I90" s="339">
        <v>92</v>
      </c>
      <c r="J90" s="339">
        <v>91</v>
      </c>
      <c r="K90" s="545"/>
      <c r="L90" s="356" t="s">
        <v>42</v>
      </c>
      <c r="M90" s="623"/>
      <c r="N90" s="466"/>
    </row>
    <row r="91" spans="2:14" ht="22.5" customHeight="1">
      <c r="B91" s="69"/>
      <c r="C91" s="348"/>
      <c r="D91" s="379"/>
      <c r="E91" s="379"/>
      <c r="F91" s="373"/>
      <c r="G91" s="373"/>
      <c r="H91" s="373"/>
      <c r="I91" s="176"/>
      <c r="J91" s="176"/>
      <c r="K91" s="545"/>
      <c r="L91" s="358"/>
      <c r="M91" s="625"/>
      <c r="N91" s="466"/>
    </row>
    <row r="92" spans="2:14" ht="41.25" customHeight="1">
      <c r="B92" s="20" t="str">
        <f>IF(Contents!$B$2=2,"EMPLOYEE TRAINING","ОБУЧЕНИЕ ПЕРСОНАЛА")</f>
        <v>ОБУЧЕНИЕ ПЕРСОНАЛА</v>
      </c>
      <c r="C92" s="350"/>
      <c r="D92" s="335"/>
      <c r="E92" s="335"/>
      <c r="F92" s="335"/>
      <c r="G92" s="335"/>
      <c r="H92" s="335"/>
      <c r="I92" s="335"/>
      <c r="J92" s="335"/>
      <c r="K92" s="575"/>
      <c r="L92" s="359"/>
      <c r="M92" s="626"/>
      <c r="N92" s="466"/>
    </row>
    <row r="93" spans="2:14" ht="22.5" customHeight="1">
      <c r="B93" s="39" t="str">
        <f>IF(Contents!$B$2=2,"Total training hours","Общее количество часов обучения")</f>
        <v>Общее количество часов обучения</v>
      </c>
      <c r="C93" s="347" t="str">
        <f>IF(Contents!$B$2=2,"hours","часов")</f>
        <v>часов</v>
      </c>
      <c r="D93" s="388">
        <v>156658</v>
      </c>
      <c r="E93" s="388">
        <v>909212</v>
      </c>
      <c r="F93" s="388">
        <v>313947</v>
      </c>
      <c r="G93" s="388">
        <v>379790</v>
      </c>
      <c r="H93" s="388">
        <v>389484</v>
      </c>
      <c r="I93" s="388">
        <v>517594</v>
      </c>
      <c r="J93" s="388">
        <v>756125</v>
      </c>
      <c r="K93" s="572"/>
      <c r="L93" s="356"/>
      <c r="M93" s="635" t="str">
        <f>IF(Contents!$B$2=2,"No","Нет")</f>
        <v>Нет</v>
      </c>
      <c r="N93" s="466"/>
    </row>
    <row r="94" spans="2:14" ht="22.5" customHeight="1">
      <c r="B94" s="329" t="str">
        <f>IF(Contents!$B$2=2,"Male","Мужчины")</f>
        <v>Мужчины</v>
      </c>
      <c r="C94" s="349" t="str">
        <f>IF(Contents!$B$2=2,"hours","часов")</f>
        <v>часов</v>
      </c>
      <c r="D94" s="313">
        <v>137669</v>
      </c>
      <c r="E94" s="313">
        <v>873688</v>
      </c>
      <c r="F94" s="313">
        <v>286551</v>
      </c>
      <c r="G94" s="313">
        <v>347299</v>
      </c>
      <c r="H94" s="313">
        <v>342339</v>
      </c>
      <c r="I94" s="374">
        <v>482704</v>
      </c>
      <c r="J94" s="375">
        <v>704746</v>
      </c>
      <c r="K94" s="577"/>
      <c r="L94" s="357"/>
      <c r="M94" s="637" t="str">
        <f>IF(Contents!$B$2=2,"No","Нет")</f>
        <v>Нет</v>
      </c>
      <c r="N94" s="466"/>
    </row>
    <row r="95" spans="2:14" ht="22.5" customHeight="1">
      <c r="B95" s="329" t="str">
        <f>IF(Contents!$B$2=2,"Female","Женщины")</f>
        <v>Женщины</v>
      </c>
      <c r="C95" s="349" t="str">
        <f>IF(Contents!$B$2=2,"hours","часов")</f>
        <v>часов</v>
      </c>
      <c r="D95" s="313">
        <v>18989</v>
      </c>
      <c r="E95" s="313">
        <v>35524</v>
      </c>
      <c r="F95" s="313">
        <v>27396</v>
      </c>
      <c r="G95" s="313">
        <v>32491</v>
      </c>
      <c r="H95" s="313">
        <v>47145</v>
      </c>
      <c r="I95" s="374">
        <v>34890</v>
      </c>
      <c r="J95" s="375">
        <v>51379</v>
      </c>
      <c r="K95" s="577"/>
      <c r="L95" s="357"/>
      <c r="M95" s="637" t="str">
        <f>IF(Contents!$B$2=2,"No","Нет")</f>
        <v>Нет</v>
      </c>
      <c r="N95" s="466"/>
    </row>
    <row r="96" spans="2:14" ht="22.5" customHeight="1">
      <c r="B96" s="345" t="str">
        <f>IF(Contents!$B$2=2,"Average training hours per employee","Среднее количество часов обучения на одного работника")</f>
        <v>Среднее количество часов обучения на одного работника</v>
      </c>
      <c r="C96" s="346" t="str">
        <f>IF(Contents!$B$2=2,"hours","часов")</f>
        <v>часов</v>
      </c>
      <c r="D96" s="370" t="s">
        <v>12</v>
      </c>
      <c r="E96" s="370" t="s">
        <v>12</v>
      </c>
      <c r="F96" s="370" t="s">
        <v>12</v>
      </c>
      <c r="G96" s="370" t="s">
        <v>12</v>
      </c>
      <c r="H96" s="370" t="s">
        <v>12</v>
      </c>
      <c r="I96" s="370">
        <v>32.4</v>
      </c>
      <c r="J96" s="370">
        <v>41</v>
      </c>
      <c r="K96" s="599"/>
      <c r="L96" s="355" t="s">
        <v>50</v>
      </c>
      <c r="M96" s="622"/>
      <c r="N96" s="466"/>
    </row>
    <row r="97" spans="2:14" ht="22.5" customHeight="1">
      <c r="B97" s="129" t="str">
        <f>IF(Contents!$B$2=2,"by gender","по полу")</f>
        <v>по полу</v>
      </c>
      <c r="C97" s="347"/>
      <c r="D97" s="371"/>
      <c r="E97" s="371"/>
      <c r="F97" s="371"/>
      <c r="G97" s="371"/>
      <c r="H97" s="371"/>
      <c r="I97" s="339"/>
      <c r="J97" s="372"/>
      <c r="K97" s="565"/>
      <c r="L97" s="356"/>
      <c r="M97" s="623"/>
      <c r="N97" s="466"/>
    </row>
    <row r="98" spans="2:14" ht="22.5" customHeight="1">
      <c r="B98" s="330" t="str">
        <f>IF(Contents!$B$2=2,"Male","Мужчины")</f>
        <v>Мужчины</v>
      </c>
      <c r="C98" s="349" t="str">
        <f>IF(Contents!$B$2=2,"hours","часов")</f>
        <v>часов</v>
      </c>
      <c r="D98" s="401">
        <v>18</v>
      </c>
      <c r="E98" s="401">
        <v>102.38</v>
      </c>
      <c r="F98" s="401">
        <v>30.11</v>
      </c>
      <c r="G98" s="401">
        <v>33.3</v>
      </c>
      <c r="H98" s="401">
        <v>29.12</v>
      </c>
      <c r="I98" s="401">
        <v>37</v>
      </c>
      <c r="J98" s="460">
        <v>49</v>
      </c>
      <c r="K98" s="581"/>
      <c r="L98" s="357"/>
      <c r="M98" s="676" t="str">
        <f>IF(Contents!$B$2=2,"Yes","Да")</f>
        <v>Да</v>
      </c>
      <c r="N98" s="466"/>
    </row>
    <row r="99" spans="2:14" ht="22.5" customHeight="1">
      <c r="B99" s="330" t="str">
        <f>IF(Contents!$B$2=2,"Female","Женщины")</f>
        <v>Женщины</v>
      </c>
      <c r="C99" s="349" t="str">
        <f>IF(Contents!$B$2=2,"hours","часов")</f>
        <v>часов</v>
      </c>
      <c r="D99" s="401">
        <v>7.08</v>
      </c>
      <c r="E99" s="401">
        <v>12.88</v>
      </c>
      <c r="F99" s="401">
        <v>8.9</v>
      </c>
      <c r="G99" s="401">
        <v>10.16</v>
      </c>
      <c r="H99" s="401">
        <v>13.02</v>
      </c>
      <c r="I99" s="401">
        <v>9</v>
      </c>
      <c r="J99" s="460">
        <v>13</v>
      </c>
      <c r="K99" s="581"/>
      <c r="L99" s="357"/>
      <c r="M99" s="676" t="str">
        <f>IF(Contents!$B$2=2,"Yes","Да")</f>
        <v>Да</v>
      </c>
      <c r="N99" s="466"/>
    </row>
    <row r="100" spans="2:14" ht="22.5" customHeight="1">
      <c r="B100" s="366" t="str">
        <f>IF(Contents!$B$2=2,"by position","по должностям")</f>
        <v>по должностям</v>
      </c>
      <c r="C100" s="347"/>
      <c r="D100" s="384"/>
      <c r="E100" s="384"/>
      <c r="F100" s="384"/>
      <c r="G100" s="384"/>
      <c r="H100" s="384"/>
      <c r="I100" s="385"/>
      <c r="J100" s="339"/>
      <c r="K100" s="545"/>
      <c r="L100" s="360" t="s">
        <v>50</v>
      </c>
      <c r="M100" s="627"/>
      <c r="N100" s="466"/>
    </row>
    <row r="101" spans="2:14" ht="22.5" customHeight="1">
      <c r="B101" s="330" t="str">
        <f>IF(Contents!$B$2=2,"Top managers","Руководители")</f>
        <v>Руководители</v>
      </c>
      <c r="C101" s="349" t="str">
        <f>IF(Contents!$B$2=2,"hours","часов")</f>
        <v>часов</v>
      </c>
      <c r="D101" s="400">
        <v>31.03</v>
      </c>
      <c r="E101" s="400">
        <v>40.11</v>
      </c>
      <c r="F101" s="400">
        <v>33.29</v>
      </c>
      <c r="G101" s="400">
        <v>30.36</v>
      </c>
      <c r="H101" s="400">
        <v>37.52</v>
      </c>
      <c r="I101" s="401">
        <v>48.7</v>
      </c>
      <c r="J101" s="460">
        <v>57.1</v>
      </c>
      <c r="K101" s="581"/>
      <c r="L101" s="357"/>
      <c r="M101" s="676" t="str">
        <f>IF(Contents!$B$2=2,"Yes","Да")</f>
        <v>Да</v>
      </c>
      <c r="N101" s="466"/>
    </row>
    <row r="102" spans="2:14" ht="22.5" customHeight="1">
      <c r="B102" s="330" t="str">
        <f>IF(Contents!$B$2=2,"White-collar employees","Специалисты")</f>
        <v>Специалисты</v>
      </c>
      <c r="C102" s="349" t="str">
        <f>IF(Contents!$B$2=2,"hours","часов")</f>
        <v>часов</v>
      </c>
      <c r="D102" s="400">
        <v>43.54</v>
      </c>
      <c r="E102" s="400">
        <v>63.89</v>
      </c>
      <c r="F102" s="400">
        <v>40.12</v>
      </c>
      <c r="G102" s="400">
        <v>45.34</v>
      </c>
      <c r="H102" s="400">
        <v>39.82</v>
      </c>
      <c r="I102" s="401">
        <v>44.14</v>
      </c>
      <c r="J102" s="460">
        <v>35.6</v>
      </c>
      <c r="K102" s="581"/>
      <c r="L102" s="357"/>
      <c r="M102" s="676" t="str">
        <f>IF(Contents!$B$2=2,"Yes","Да")</f>
        <v>Да</v>
      </c>
      <c r="N102" s="466"/>
    </row>
    <row r="103" spans="2:14" ht="22.5" customHeight="1">
      <c r="B103" s="330" t="str">
        <f>IF(Contents!$B$2=2,"Blue-collar employees","Рабочие")</f>
        <v>Рабочие</v>
      </c>
      <c r="C103" s="349" t="str">
        <f>IF(Contents!$B$2=2,"hours","часов")</f>
        <v>часов</v>
      </c>
      <c r="D103" s="400">
        <v>52.81</v>
      </c>
      <c r="E103" s="400">
        <v>241.58</v>
      </c>
      <c r="F103" s="400">
        <v>66.13</v>
      </c>
      <c r="G103" s="400">
        <v>50.5</v>
      </c>
      <c r="H103" s="400">
        <v>52.45</v>
      </c>
      <c r="I103" s="401">
        <v>53.84</v>
      </c>
      <c r="J103" s="460">
        <v>38.7</v>
      </c>
      <c r="K103" s="581"/>
      <c r="L103" s="357"/>
      <c r="M103" s="676" t="str">
        <f>IF(Contents!$B$2=2,"Yes","Да")</f>
        <v>Да</v>
      </c>
      <c r="N103" s="466"/>
    </row>
    <row r="104" spans="2:14" ht="22.5" customHeight="1">
      <c r="B104" s="113" t="str">
        <f>IF(Contents!$B$2=2,"Number of employees trained","Количество обученных работников")</f>
        <v>Количество обученных работников</v>
      </c>
      <c r="C104" s="352" t="str">
        <f>IF(Contents!$B$2=2,"thousand of employees","тыс. работников")</f>
        <v>тыс. работников</v>
      </c>
      <c r="D104" s="338">
        <v>9</v>
      </c>
      <c r="E104" s="338">
        <v>5</v>
      </c>
      <c r="F104" s="338">
        <v>4.5</v>
      </c>
      <c r="G104" s="338">
        <v>5.2</v>
      </c>
      <c r="H104" s="338">
        <v>5.9</v>
      </c>
      <c r="I104" s="390">
        <v>7.5</v>
      </c>
      <c r="J104" s="390">
        <v>9.8</v>
      </c>
      <c r="K104" s="600"/>
      <c r="L104" s="360"/>
      <c r="M104" s="638" t="str">
        <f>IF(Contents!$B$2=2,"Yes","Да")</f>
        <v>Да</v>
      </c>
      <c r="N104" s="466"/>
    </row>
    <row r="105" spans="2:14" ht="22.5" customHeight="1">
      <c r="B105" s="45" t="str">
        <f>IF(Contents!$B$2=2,"Number of employees tested through the Corporate Technical Competency Assessment System","Количество работников, прошедших тестирование с помощью Корпоративной системы оценки технических компетенций")</f>
        <v>Количество работников, прошедших тестирование с помощью Корпоративной системы оценки технических компетенций</v>
      </c>
      <c r="C105" s="348" t="s">
        <v>6</v>
      </c>
      <c r="D105" s="373">
        <v>936</v>
      </c>
      <c r="E105" s="373">
        <v>1019</v>
      </c>
      <c r="F105" s="373">
        <v>901</v>
      </c>
      <c r="G105" s="373">
        <v>274</v>
      </c>
      <c r="H105" s="373">
        <v>1447</v>
      </c>
      <c r="I105" s="176">
        <v>429</v>
      </c>
      <c r="J105" s="383">
        <v>1240</v>
      </c>
      <c r="K105" s="576"/>
      <c r="L105" s="357" t="s">
        <v>51</v>
      </c>
      <c r="M105" s="676" t="str">
        <f>IF(Contents!$B$2=2,"Yes","Да")</f>
        <v>Да</v>
      </c>
      <c r="N105" s="466"/>
    </row>
    <row r="106" spans="2:14" ht="22.5" customHeight="1">
      <c r="B106" s="113" t="str">
        <f>IF(Contents!$B$2=2,"Employee training expenses","Расходы на обучение работников")</f>
        <v>Расходы на обучение работников</v>
      </c>
      <c r="C106" s="351" t="str">
        <f>IF(Contents!$B$2=2,"RR mln","млн руб.")</f>
        <v>млн руб.</v>
      </c>
      <c r="D106" s="387" t="s">
        <v>12</v>
      </c>
      <c r="E106" s="387" t="s">
        <v>12</v>
      </c>
      <c r="F106" s="387" t="s">
        <v>12</v>
      </c>
      <c r="G106" s="388">
        <v>110</v>
      </c>
      <c r="H106" s="388">
        <v>90</v>
      </c>
      <c r="I106" s="339">
        <v>51</v>
      </c>
      <c r="J106" s="339">
        <v>88</v>
      </c>
      <c r="K106" s="545"/>
      <c r="L106" s="360"/>
      <c r="M106" s="679" t="str">
        <f>IF(Contents!$B$2=2,"Yes","Да")</f>
        <v>Да</v>
      </c>
      <c r="N106" s="466"/>
    </row>
    <row r="107" spans="2:14" ht="22.5" customHeight="1">
      <c r="B107" s="45"/>
      <c r="C107" s="349"/>
      <c r="D107" s="389"/>
      <c r="E107" s="389"/>
      <c r="F107" s="389"/>
      <c r="G107" s="313"/>
      <c r="H107" s="313"/>
      <c r="I107" s="176"/>
      <c r="J107" s="176"/>
      <c r="K107" s="545"/>
      <c r="L107" s="357"/>
      <c r="M107" s="624"/>
      <c r="N107" s="466"/>
    </row>
    <row r="108" spans="2:14" ht="41.25" customHeight="1">
      <c r="B108" s="20" t="str">
        <f>IF(Contents!$B$2=2,"SOCIAL PROGRAMS","СОЦИАЛЬНЫЕ ПРОГРАММЫ")</f>
        <v>СОЦИАЛЬНЫЕ ПРОГРАММЫ</v>
      </c>
      <c r="C108" s="350"/>
      <c r="D108" s="340"/>
      <c r="E108" s="340"/>
      <c r="F108" s="340"/>
      <c r="G108" s="340"/>
      <c r="H108" s="340"/>
      <c r="I108" s="340"/>
      <c r="J108" s="340"/>
      <c r="K108" s="601"/>
      <c r="L108" s="359"/>
      <c r="M108" s="626"/>
      <c r="N108" s="466"/>
    </row>
    <row r="109" spans="2:14" ht="22.5" customHeight="1">
      <c r="B109" s="28" t="str">
        <f>IF(Contents!$B$2=2,"Total spending on social programs","Общие расходы на социальные программы")</f>
        <v>Общие расходы на социальные программы</v>
      </c>
      <c r="C109" s="347" t="str">
        <f>IF(Contents!$B$2=2,"RR bln","млрд руб.")</f>
        <v>млрд руб.</v>
      </c>
      <c r="D109" s="341" t="s">
        <v>12</v>
      </c>
      <c r="E109" s="341" t="s">
        <v>12</v>
      </c>
      <c r="F109" s="341">
        <f>(F111+F121+F157)</f>
        <v>5.367999999999999</v>
      </c>
      <c r="G109" s="341">
        <f>(G111+G121+G157)</f>
        <v>4.8469999999999995</v>
      </c>
      <c r="H109" s="341">
        <f>(H111+H121+H157)</f>
        <v>5.451</v>
      </c>
      <c r="I109" s="341">
        <f>(I111+I121+I157)</f>
        <v>8.136</v>
      </c>
      <c r="J109" s="390">
        <f>(J111+J121+J157)</f>
        <v>7.285</v>
      </c>
      <c r="K109" s="600"/>
      <c r="L109" s="361"/>
      <c r="M109" s="679" t="str">
        <f>IF(Contents!$B$2=2,"Yes","Да")</f>
        <v>Да</v>
      </c>
      <c r="N109" s="466"/>
    </row>
    <row r="110" spans="2:14" ht="22.5" customHeight="1">
      <c r="B110" s="43"/>
      <c r="C110" s="348"/>
      <c r="D110" s="381"/>
      <c r="E110" s="381"/>
      <c r="F110" s="381"/>
      <c r="G110" s="381"/>
      <c r="H110" s="381"/>
      <c r="I110" s="381"/>
      <c r="J110" s="381"/>
      <c r="K110" s="578"/>
      <c r="L110" s="358"/>
      <c r="M110" s="625"/>
      <c r="N110" s="466"/>
    </row>
    <row r="111" spans="2:14" ht="22.5" customHeight="1">
      <c r="B111" s="113" t="str">
        <f>IF(Contents!$B$2=2,"Employee social expenses ","Социальные расходы на работников")</f>
        <v>Социальные расходы на работников</v>
      </c>
      <c r="C111" s="347" t="str">
        <f>IF(Contents!$B$2=2,"RR bln","млрд руб.")</f>
        <v>млрд руб.</v>
      </c>
      <c r="D111" s="338">
        <v>1.4</v>
      </c>
      <c r="E111" s="338">
        <v>1.3</v>
      </c>
      <c r="F111" s="338">
        <v>1.4</v>
      </c>
      <c r="G111" s="338">
        <v>1.4</v>
      </c>
      <c r="H111" s="338">
        <v>1.8</v>
      </c>
      <c r="I111" s="339">
        <v>1.6</v>
      </c>
      <c r="J111" s="390">
        <v>2</v>
      </c>
      <c r="K111" s="600"/>
      <c r="L111" s="356"/>
      <c r="M111" s="679" t="str">
        <f>IF(Contents!$B$2=2,"Yes","Да")</f>
        <v>Да</v>
      </c>
      <c r="N111" s="466"/>
    </row>
    <row r="112" spans="2:14" ht="22.5" customHeight="1">
      <c r="B112" s="330" t="str">
        <f>IF(Contents!$B$2=2,"Voluntary medical insurance for employees","Добровольное медицинское страхование работников")</f>
        <v>Добровольное медицинское страхование работников</v>
      </c>
      <c r="C112" s="348" t="str">
        <f>IF(Contents!$B$2=2,"RR mln","млн руб.")</f>
        <v>млн руб.</v>
      </c>
      <c r="D112" s="400">
        <v>80.2</v>
      </c>
      <c r="E112" s="400">
        <v>125.1</v>
      </c>
      <c r="F112" s="400">
        <v>157.5</v>
      </c>
      <c r="G112" s="400">
        <v>178.2</v>
      </c>
      <c r="H112" s="400">
        <v>201.2</v>
      </c>
      <c r="I112" s="401">
        <v>236.4</v>
      </c>
      <c r="J112" s="375">
        <v>260.2</v>
      </c>
      <c r="K112" s="577"/>
      <c r="L112" s="357" t="s">
        <v>52</v>
      </c>
      <c r="M112" s="676" t="str">
        <f>IF(Contents!$B$2=2,"Yes","Да")</f>
        <v>Да</v>
      </c>
      <c r="N112" s="466"/>
    </row>
    <row r="113" spans="2:14" ht="22.5" customHeight="1">
      <c r="B113" s="330" t="str">
        <f>IF(Contents!$B$2=2,"Pension program","Пенсионная программа")</f>
        <v>Пенсионная программа</v>
      </c>
      <c r="C113" s="348" t="str">
        <f>IF(Contents!$B$2=2,"RR mln","млн руб.")</f>
        <v>млн руб.</v>
      </c>
      <c r="D113" s="400">
        <v>39.8</v>
      </c>
      <c r="E113" s="400">
        <v>50.4</v>
      </c>
      <c r="F113" s="400">
        <v>68</v>
      </c>
      <c r="G113" s="400">
        <v>87.2</v>
      </c>
      <c r="H113" s="400">
        <v>104.2</v>
      </c>
      <c r="I113" s="401">
        <v>123.8</v>
      </c>
      <c r="J113" s="375">
        <v>138.5</v>
      </c>
      <c r="K113" s="577"/>
      <c r="L113" s="357" t="s">
        <v>52</v>
      </c>
      <c r="M113" s="676" t="str">
        <f>IF(Contents!$B$2=2,"Yes","Да")</f>
        <v>Да</v>
      </c>
      <c r="N113" s="466"/>
    </row>
    <row r="114" spans="2:14" ht="22.5" customHeight="1">
      <c r="B114" s="330" t="str">
        <f>IF(Contents!$B$2=2,"State guarantees support","Программа обеспечения государственных гарантий")</f>
        <v>Программа обеспечения государственных гарантий</v>
      </c>
      <c r="C114" s="348" t="str">
        <f>IF(Contents!$B$2=2,"RR mln","млн руб.")</f>
        <v>млн руб.</v>
      </c>
      <c r="D114" s="400">
        <v>74.2</v>
      </c>
      <c r="E114" s="400">
        <v>87.3</v>
      </c>
      <c r="F114" s="400">
        <v>94.1</v>
      </c>
      <c r="G114" s="400">
        <v>106</v>
      </c>
      <c r="H114" s="400">
        <v>114.2</v>
      </c>
      <c r="I114" s="401">
        <v>85.7</v>
      </c>
      <c r="J114" s="375">
        <v>124.1</v>
      </c>
      <c r="K114" s="577"/>
      <c r="L114" s="357" t="s">
        <v>74</v>
      </c>
      <c r="M114" s="676" t="str">
        <f>IF(Contents!$B$2=2,"Yes","Да")</f>
        <v>Да</v>
      </c>
      <c r="N114" s="466"/>
    </row>
    <row r="115" spans="2:14" ht="22.5" customHeight="1">
      <c r="B115" s="45" t="str">
        <f>IF(Contents!$B$2=2,"Number of employees covered by the State guarantees support program","Работники, охваченные Программой обеспечения государственных гарантий")</f>
        <v>Работники, охваченные Программой обеспечения государственных гарантий</v>
      </c>
      <c r="C115" s="348" t="s">
        <v>6</v>
      </c>
      <c r="D115" s="379">
        <v>3343</v>
      </c>
      <c r="E115" s="379">
        <v>3553</v>
      </c>
      <c r="F115" s="379">
        <v>3834</v>
      </c>
      <c r="G115" s="379">
        <v>4184</v>
      </c>
      <c r="H115" s="379">
        <v>4526</v>
      </c>
      <c r="I115" s="374">
        <v>3585</v>
      </c>
      <c r="J115" s="375">
        <v>4723</v>
      </c>
      <c r="K115" s="577"/>
      <c r="L115" s="357"/>
      <c r="M115" s="637" t="str">
        <f>IF(Contents!$B$2=2,"No","Нет")</f>
        <v>Нет</v>
      </c>
      <c r="N115" s="466"/>
    </row>
    <row r="116" spans="2:14" ht="22.5" customHeight="1">
      <c r="B116" s="54" t="str">
        <f>IF(Contents!$B$2=2,"Number of employees covered by the Therapeutic resort treatment and rehabilitation program","Работники, охваченные Программой санаторно-курортного лечения и реабилитации")</f>
        <v>Работники, охваченные Программой санаторно-курортного лечения и реабилитации</v>
      </c>
      <c r="C116" s="348" t="s">
        <v>6</v>
      </c>
      <c r="D116" s="373">
        <v>1825</v>
      </c>
      <c r="E116" s="373">
        <v>3479</v>
      </c>
      <c r="F116" s="373">
        <v>3850</v>
      </c>
      <c r="G116" s="373">
        <v>4587</v>
      </c>
      <c r="H116" s="373">
        <v>5373</v>
      </c>
      <c r="I116" s="374">
        <v>2581</v>
      </c>
      <c r="J116" s="375">
        <v>6253</v>
      </c>
      <c r="K116" s="577"/>
      <c r="L116" s="357" t="s">
        <v>52</v>
      </c>
      <c r="M116" s="678" t="str">
        <f>IF(Contents!$B$2=2,"No","Нет")</f>
        <v>Нет</v>
      </c>
      <c r="N116" s="466"/>
    </row>
    <row r="117" spans="2:14" ht="22.5" customHeight="1">
      <c r="B117" s="54" t="str">
        <f>IF(Contents!$B$2=2,"Number of employees covered by the Pension program","Работники, охваченные Пенсионной программой")</f>
        <v>Работники, охваченные Пенсионной программой</v>
      </c>
      <c r="C117" s="348" t="s">
        <v>6</v>
      </c>
      <c r="D117" s="373">
        <v>661</v>
      </c>
      <c r="E117" s="373">
        <v>758</v>
      </c>
      <c r="F117" s="373">
        <v>866</v>
      </c>
      <c r="G117" s="373">
        <v>990</v>
      </c>
      <c r="H117" s="373">
        <v>1103</v>
      </c>
      <c r="I117" s="374">
        <v>1202</v>
      </c>
      <c r="J117" s="375">
        <v>1254</v>
      </c>
      <c r="K117" s="577"/>
      <c r="L117" s="357"/>
      <c r="M117" s="678" t="str">
        <f>IF(Contents!$B$2=2,"No","Нет")</f>
        <v>Нет</v>
      </c>
      <c r="N117" s="466"/>
    </row>
    <row r="118" spans="2:14" ht="22.5" customHeight="1">
      <c r="B118" s="54"/>
      <c r="C118" s="348"/>
      <c r="D118" s="391"/>
      <c r="E118" s="391"/>
      <c r="F118" s="392"/>
      <c r="G118" s="392"/>
      <c r="H118" s="392"/>
      <c r="I118" s="184"/>
      <c r="J118" s="273"/>
      <c r="K118" s="565"/>
      <c r="L118" s="357"/>
      <c r="M118" s="624"/>
      <c r="N118" s="466"/>
    </row>
    <row r="119" spans="2:14" ht="41.25" customHeight="1">
      <c r="B119" s="20" t="str">
        <f>IF(Contents!$B$2=2,"EXTERNAL SOCIAL PROGRAMS","ВНЕШНИЕ СОЦИАЛЬНЫЕ ПРОГРАММЫ")</f>
        <v>ВНЕШНИЕ СОЦИАЛЬНЫЕ ПРОГРАММЫ</v>
      </c>
      <c r="C119" s="350"/>
      <c r="D119" s="335"/>
      <c r="E119" s="335"/>
      <c r="F119" s="335"/>
      <c r="G119" s="335"/>
      <c r="H119" s="335"/>
      <c r="I119" s="335"/>
      <c r="J119" s="335"/>
      <c r="K119" s="575"/>
      <c r="L119" s="359"/>
      <c r="M119" s="626"/>
      <c r="N119" s="466"/>
    </row>
    <row r="120" spans="2:14" ht="22.5" customHeight="1">
      <c r="B120" s="43"/>
      <c r="C120" s="348"/>
      <c r="D120" s="273"/>
      <c r="E120" s="273"/>
      <c r="F120" s="273"/>
      <c r="G120" s="391"/>
      <c r="H120" s="273"/>
      <c r="I120" s="184"/>
      <c r="J120" s="273"/>
      <c r="K120" s="565"/>
      <c r="L120" s="358"/>
      <c r="M120" s="625"/>
      <c r="N120" s="466"/>
    </row>
    <row r="121" spans="2:14" ht="22.5" customHeight="1">
      <c r="B121" s="113" t="str">
        <f>IF(Contents!$B$2=2,"External social expenses ","Внешние социальные расходы")</f>
        <v>Внешние социальные расходы</v>
      </c>
      <c r="C121" s="347" t="str">
        <f>IF(Contents!$B$2=2,"RR bln","млрд руб.")</f>
        <v>млрд руб.</v>
      </c>
      <c r="D121" s="338">
        <v>1</v>
      </c>
      <c r="E121" s="338">
        <v>1.9</v>
      </c>
      <c r="F121" s="338">
        <v>2.8</v>
      </c>
      <c r="G121" s="338">
        <v>2</v>
      </c>
      <c r="H121" s="338">
        <v>2</v>
      </c>
      <c r="I121" s="339">
        <v>4.1</v>
      </c>
      <c r="J121" s="339">
        <v>2.8</v>
      </c>
      <c r="K121" s="545"/>
      <c r="L121" s="356" t="s">
        <v>75</v>
      </c>
      <c r="M121" s="635" t="str">
        <f>IF(Contents!$B$2=2,"Yes","Да")</f>
        <v>Да</v>
      </c>
      <c r="N121" s="466"/>
    </row>
    <row r="122" spans="2:14" ht="22.5" customHeight="1">
      <c r="B122" s="53"/>
      <c r="C122" s="348"/>
      <c r="D122" s="381"/>
      <c r="E122" s="381"/>
      <c r="F122" s="381"/>
      <c r="G122" s="381"/>
      <c r="H122" s="381"/>
      <c r="I122" s="176"/>
      <c r="J122" s="176"/>
      <c r="K122" s="545"/>
      <c r="L122" s="358"/>
      <c r="M122" s="625"/>
      <c r="N122" s="466"/>
    </row>
    <row r="123" spans="2:14" ht="22.5" customHeight="1">
      <c r="B123" s="67" t="str">
        <f>IF(Contents!$B$2=2,"Educational programs","Образовательные программы")</f>
        <v>Образовательные программы</v>
      </c>
      <c r="C123" s="347" t="str">
        <f>IF(Contents!$B$2=2,"RR mln","млн руб.")</f>
        <v>млн руб.</v>
      </c>
      <c r="D123" s="338">
        <v>44.5</v>
      </c>
      <c r="E123" s="338">
        <v>43.9</v>
      </c>
      <c r="F123" s="338">
        <v>94.1</v>
      </c>
      <c r="G123" s="338">
        <v>39.6</v>
      </c>
      <c r="H123" s="338">
        <v>96.3</v>
      </c>
      <c r="I123" s="339">
        <v>43.7</v>
      </c>
      <c r="J123" s="339">
        <v>96.4</v>
      </c>
      <c r="K123" s="545"/>
      <c r="L123" s="362"/>
      <c r="M123" s="640" t="str">
        <f>IF(Contents!$B$2=2,"No","Нет")</f>
        <v>Нет</v>
      </c>
      <c r="N123" s="466"/>
    </row>
    <row r="124" spans="2:14" ht="22.5" customHeight="1">
      <c r="B124" s="46" t="str">
        <f>IF(Contents!$B$2=2,"The Gifted children program","Программа «Одаренные дети»")</f>
        <v>Программа «Одаренные дети»</v>
      </c>
      <c r="C124" s="348" t="str">
        <f>IF(Contents!$B$2=2,"RR mln","млн руб.")</f>
        <v>млн руб.</v>
      </c>
      <c r="D124" s="379" t="s">
        <v>12</v>
      </c>
      <c r="E124" s="379" t="s">
        <v>12</v>
      </c>
      <c r="F124" s="381">
        <v>7.5</v>
      </c>
      <c r="G124" s="381">
        <v>12.5</v>
      </c>
      <c r="H124" s="381">
        <v>14.6</v>
      </c>
      <c r="I124" s="393">
        <v>16.2</v>
      </c>
      <c r="J124" s="376">
        <v>6.8</v>
      </c>
      <c r="K124" s="545"/>
      <c r="L124" s="363"/>
      <c r="M124" s="639" t="str">
        <f>IF(Contents!$B$2=2,"No","Нет")</f>
        <v>Нет</v>
      </c>
      <c r="N124" s="466"/>
    </row>
    <row r="125" spans="2:14" ht="22.5" customHeight="1">
      <c r="B125" s="46" t="str">
        <f>IF(Contents!$B$2=2,"NOVATEK-University","Программа «НОВАТЭК-ВУЗ»")</f>
        <v>Программа «НОВАТЭК-ВУЗ»</v>
      </c>
      <c r="C125" s="348" t="str">
        <f>IF(Contents!$B$2=2,"RR mln","млн руб.")</f>
        <v>млн руб.</v>
      </c>
      <c r="D125" s="379" t="s">
        <v>12</v>
      </c>
      <c r="E125" s="379" t="s">
        <v>12</v>
      </c>
      <c r="F125" s="381">
        <v>26</v>
      </c>
      <c r="G125" s="381">
        <v>26.8</v>
      </c>
      <c r="H125" s="381">
        <v>81.4</v>
      </c>
      <c r="I125" s="393">
        <v>27.1</v>
      </c>
      <c r="J125" s="376">
        <v>89.2</v>
      </c>
      <c r="K125" s="545"/>
      <c r="L125" s="363"/>
      <c r="M125" s="676" t="str">
        <f>IF(Contents!$B$2=2,"Yes","Да")</f>
        <v>Да</v>
      </c>
      <c r="N125" s="466"/>
    </row>
    <row r="126" spans="2:14" ht="22.5" customHeight="1">
      <c r="B126" s="46" t="str">
        <f>IF(Contents!$B$2=2,"The Grants program","Программа «Гранты»")</f>
        <v>Программа «Гранты»</v>
      </c>
      <c r="C126" s="348" t="str">
        <f>IF(Contents!$B$2=2,"RR mln","млн руб.")</f>
        <v>млн руб.</v>
      </c>
      <c r="D126" s="379" t="s">
        <v>12</v>
      </c>
      <c r="E126" s="379" t="s">
        <v>12</v>
      </c>
      <c r="F126" s="381">
        <v>0.207</v>
      </c>
      <c r="G126" s="381">
        <v>0.264</v>
      </c>
      <c r="H126" s="381">
        <v>0.345</v>
      </c>
      <c r="I126" s="393">
        <v>0.377</v>
      </c>
      <c r="J126" s="382">
        <v>0.442</v>
      </c>
      <c r="K126" s="600"/>
      <c r="L126" s="363"/>
      <c r="M126" s="639" t="str">
        <f>IF(Contents!$B$2=2,"No","Нет")</f>
        <v>Нет</v>
      </c>
      <c r="N126" s="466"/>
    </row>
    <row r="127" spans="2:14" ht="34.5" customHeight="1">
      <c r="B127" s="55" t="str">
        <f>IF(Contents!$B$2=2,"Number of children receiving medical assistance under the Health Territory project","Количество детей, получающих медицинскую помощь в рамках проекта «Территория здоровья»")</f>
        <v>Количество детей, получающих медицинскую помощь в рамках проекта «Территория здоровья»</v>
      </c>
      <c r="C127" s="348" t="s">
        <v>6</v>
      </c>
      <c r="D127" s="379" t="s">
        <v>12</v>
      </c>
      <c r="E127" s="379" t="s">
        <v>12</v>
      </c>
      <c r="F127" s="379" t="s">
        <v>12</v>
      </c>
      <c r="G127" s="373">
        <v>373</v>
      </c>
      <c r="H127" s="373">
        <v>668</v>
      </c>
      <c r="I127" s="176">
        <v>457</v>
      </c>
      <c r="J127" s="376">
        <v>716</v>
      </c>
      <c r="K127" s="545"/>
      <c r="L127" s="363"/>
      <c r="M127" s="680" t="str">
        <f>IF(Contents!$B$2=2,"No","Нет")</f>
        <v>Нет</v>
      </c>
      <c r="N127" s="466"/>
    </row>
    <row r="128" spans="2:14" ht="22.5" customHeight="1">
      <c r="B128" s="55" t="str">
        <f>IF(Contents!$B$2=2,"Allocation to NOVATEK-Veteran Social Protection Foundation","Отчисления средств Фонду социальной защиты ветеранов «НОВАТЭКа»")</f>
        <v>Отчисления средств Фонду социальной защиты ветеранов «НОВАТЭКа»</v>
      </c>
      <c r="C128" s="348" t="str">
        <f>IF(Contents!$B$2=2,"RR mln","млн руб.")</f>
        <v>млн руб.</v>
      </c>
      <c r="D128" s="381">
        <v>23.3</v>
      </c>
      <c r="E128" s="381">
        <v>24.7</v>
      </c>
      <c r="F128" s="381">
        <v>31.6</v>
      </c>
      <c r="G128" s="381">
        <v>31.5</v>
      </c>
      <c r="H128" s="381">
        <v>32.2</v>
      </c>
      <c r="I128" s="176">
        <v>33.2</v>
      </c>
      <c r="J128" s="376">
        <v>32.6</v>
      </c>
      <c r="K128" s="545"/>
      <c r="L128" s="363"/>
      <c r="M128" s="680" t="str">
        <f>IF(Contents!$B$2=2,"No","Нет")</f>
        <v>Нет</v>
      </c>
      <c r="N128" s="466"/>
    </row>
    <row r="129" spans="2:14" ht="22.5" customHeight="1">
      <c r="B129" s="55" t="str">
        <f>IF(Contents!$B$2=2,"Number of NOVATEK-Veteran Social Protection Foundation members","Количество членов Фонда социальной защиты ветеранов «НОВАТЭК-Ветеран»")</f>
        <v>Количество членов Фонда социальной защиты ветеранов «НОВАТЭК-Ветеран»</v>
      </c>
      <c r="C129" s="348" t="s">
        <v>6</v>
      </c>
      <c r="D129" s="379">
        <v>900</v>
      </c>
      <c r="E129" s="379">
        <v>888</v>
      </c>
      <c r="F129" s="379">
        <v>866</v>
      </c>
      <c r="G129" s="379">
        <v>844</v>
      </c>
      <c r="H129" s="379">
        <v>819</v>
      </c>
      <c r="I129" s="176">
        <v>803</v>
      </c>
      <c r="J129" s="376">
        <v>782</v>
      </c>
      <c r="K129" s="545"/>
      <c r="L129" s="363"/>
      <c r="M129" s="680" t="str">
        <f>IF(Contents!$B$2=2,"No","Нет")</f>
        <v>Нет</v>
      </c>
      <c r="N129" s="466"/>
    </row>
    <row r="130" spans="2:14" ht="22.5" customHeight="1">
      <c r="B130" s="55"/>
      <c r="C130" s="348"/>
      <c r="D130" s="379"/>
      <c r="E130" s="379"/>
      <c r="F130" s="379"/>
      <c r="G130" s="379"/>
      <c r="H130" s="379"/>
      <c r="I130" s="176"/>
      <c r="J130" s="176"/>
      <c r="K130" s="545"/>
      <c r="L130" s="363"/>
      <c r="M130" s="628"/>
      <c r="N130" s="466"/>
    </row>
    <row r="131" spans="2:14" ht="41.25" customHeight="1">
      <c r="B131" s="20" t="str">
        <f>IF(Contents!$B$2=2,"OCCUPATIONAL HEALTH AND SAFETY","ОХРАНА ТРУДА И ПРОМЫШЛЕННАЯ БЕЗОПАСНОСТЬ")</f>
        <v>ОХРАНА ТРУДА И ПРОМЫШЛЕННАЯ БЕЗОПАСНОСТЬ</v>
      </c>
      <c r="C131" s="350"/>
      <c r="D131" s="335"/>
      <c r="E131" s="335"/>
      <c r="F131" s="335"/>
      <c r="G131" s="335"/>
      <c r="H131" s="335"/>
      <c r="I131" s="335"/>
      <c r="J131" s="335"/>
      <c r="K131" s="575"/>
      <c r="L131" s="359"/>
      <c r="M131" s="626"/>
      <c r="N131" s="466"/>
    </row>
    <row r="132" spans="2:14" ht="22.5" customHeight="1">
      <c r="B132" s="39" t="str">
        <f>IF(Contents!$B$2=2,"Work-related injury rates at the NOVATEK Group","Показатели производственного травматизма по Группе")</f>
        <v>Показатели производственного травматизма по Группе</v>
      </c>
      <c r="C132" s="347"/>
      <c r="D132" s="394"/>
      <c r="E132" s="394"/>
      <c r="F132" s="395"/>
      <c r="G132" s="395"/>
      <c r="H132" s="395"/>
      <c r="I132" s="378"/>
      <c r="J132" s="372"/>
      <c r="K132" s="565"/>
      <c r="L132" s="201" t="s">
        <v>53</v>
      </c>
      <c r="M132" s="618"/>
      <c r="N132" s="466"/>
    </row>
    <row r="133" spans="2:14" ht="22.5" customHeight="1">
      <c r="B133" s="54" t="str">
        <f>IF(Contents!$B$2=2,"LTIFR","LTIFR (Коэффициент частоты производственных травм с временной потерей трудоспособности)")</f>
        <v>LTIFR (Коэффициент частоты производственных травм с временной потерей трудоспособности)</v>
      </c>
      <c r="C133" s="349"/>
      <c r="D133" s="389" t="s">
        <v>12</v>
      </c>
      <c r="E133" s="389" t="s">
        <v>12</v>
      </c>
      <c r="F133" s="389" t="s">
        <v>12</v>
      </c>
      <c r="G133" s="389" t="s">
        <v>12</v>
      </c>
      <c r="H133" s="396">
        <v>0.37</v>
      </c>
      <c r="I133" s="396">
        <v>0.45</v>
      </c>
      <c r="J133" s="397">
        <v>0.53</v>
      </c>
      <c r="K133" s="580"/>
      <c r="L133" s="357"/>
      <c r="M133" s="676" t="str">
        <f>IF(Contents!$B$2=2,"Yes","Да")</f>
        <v>Да</v>
      </c>
      <c r="N133" s="466"/>
    </row>
    <row r="134" spans="2:14" ht="22.5" customHeight="1">
      <c r="B134" s="54" t="str">
        <f>IF(Contents!$B$2=2,"FR (Fatality rate)","FR (Коэффициент несчастных случаев со смертельным исходом)")</f>
        <v>FR (Коэффициент несчастных случаев со смертельным исходом)</v>
      </c>
      <c r="C134" s="349"/>
      <c r="D134" s="389" t="s">
        <v>12</v>
      </c>
      <c r="E134" s="389" t="s">
        <v>12</v>
      </c>
      <c r="F134" s="389" t="s">
        <v>12</v>
      </c>
      <c r="G134" s="389" t="s">
        <v>12</v>
      </c>
      <c r="H134" s="313">
        <v>0</v>
      </c>
      <c r="I134" s="313">
        <v>0</v>
      </c>
      <c r="J134" s="397">
        <v>0.07</v>
      </c>
      <c r="K134" s="580"/>
      <c r="L134" s="357"/>
      <c r="M134" s="676" t="str">
        <f>IF(Contents!$B$2=2,"Yes","Да")</f>
        <v>Да</v>
      </c>
      <c r="N134" s="466"/>
    </row>
    <row r="135" spans="2:14" ht="22.5" customHeight="1">
      <c r="B135" s="54" t="str">
        <f>IF(Contents!$B$2=2,"Severe injuries rate","Коэффициент тяжелого травматизма")</f>
        <v>Коэффициент тяжелого травматизма</v>
      </c>
      <c r="C135" s="349"/>
      <c r="D135" s="389" t="s">
        <v>12</v>
      </c>
      <c r="E135" s="389" t="s">
        <v>12</v>
      </c>
      <c r="F135" s="389" t="s">
        <v>12</v>
      </c>
      <c r="G135" s="389" t="s">
        <v>12</v>
      </c>
      <c r="H135" s="313">
        <v>0</v>
      </c>
      <c r="I135" s="396">
        <v>0.08</v>
      </c>
      <c r="J135" s="398">
        <v>0</v>
      </c>
      <c r="K135" s="572"/>
      <c r="L135" s="357"/>
      <c r="M135" s="676" t="str">
        <f>IF(Contents!$B$2=2,"Yes","Да")</f>
        <v>Да</v>
      </c>
      <c r="N135" s="466"/>
    </row>
    <row r="136" spans="2:14" ht="22.5" customHeight="1">
      <c r="B136" s="54" t="str">
        <f>IF(Contents!$B$2=2,"Severity rate","Коэффициент тяжести несчастных случаев")</f>
        <v>Коэффициент тяжести несчастных случаев</v>
      </c>
      <c r="C136" s="349"/>
      <c r="D136" s="313">
        <v>29</v>
      </c>
      <c r="E136" s="313">
        <v>59</v>
      </c>
      <c r="F136" s="313">
        <v>53</v>
      </c>
      <c r="G136" s="313">
        <v>50</v>
      </c>
      <c r="H136" s="313">
        <v>28</v>
      </c>
      <c r="I136" s="176">
        <v>56</v>
      </c>
      <c r="J136" s="376">
        <v>46</v>
      </c>
      <c r="K136" s="545"/>
      <c r="L136" s="357"/>
      <c r="M136" s="676" t="str">
        <f>IF(Contents!$B$2=2,"Yes","Да")</f>
        <v>Да</v>
      </c>
      <c r="N136" s="466"/>
    </row>
    <row r="137" spans="2:14" ht="22.5" customHeight="1">
      <c r="B137" s="54" t="str">
        <f>IF(Contents!$B$2=2,"TRIR (Total recordable incident rate)","TRIR (Коэффициент частоты несчастных случаев)")</f>
        <v>TRIR (Коэффициент частоты несчастных случаев)</v>
      </c>
      <c r="C137" s="349"/>
      <c r="D137" s="386">
        <v>0.51</v>
      </c>
      <c r="E137" s="386">
        <v>0.33</v>
      </c>
      <c r="F137" s="386">
        <v>1.27</v>
      </c>
      <c r="G137" s="386">
        <v>0.79</v>
      </c>
      <c r="H137" s="386">
        <v>1.06</v>
      </c>
      <c r="I137" s="176">
        <v>0.81</v>
      </c>
      <c r="J137" s="376">
        <v>0.88</v>
      </c>
      <c r="K137" s="545"/>
      <c r="L137" s="363" t="s">
        <v>68</v>
      </c>
      <c r="M137" s="676" t="str">
        <f>IF(Contents!$B$2=2,"Yes","Да")</f>
        <v>Да</v>
      </c>
      <c r="N137" s="466" t="str">
        <f>IF(Contents!$B$2=2,"Number of injuries divided by the average headcount.","Количество несчастных случаев, поделенное на среднесписочную численность.")</f>
        <v>Количество несчастных случаев, поделенное на среднесписочную численность.</v>
      </c>
    </row>
    <row r="138" spans="2:14" ht="22.5" customHeight="1">
      <c r="B138" s="39" t="str">
        <f>IF(Contents!$B$2=2,"Number of employee work-related injuries","Количество несчастных случаев на производстве")</f>
        <v>Количество несчастных случаев на производстве</v>
      </c>
      <c r="C138" s="351" t="s">
        <v>6</v>
      </c>
      <c r="D138" s="388">
        <v>5</v>
      </c>
      <c r="E138" s="388">
        <v>5</v>
      </c>
      <c r="F138" s="388">
        <v>13</v>
      </c>
      <c r="G138" s="388">
        <v>10</v>
      </c>
      <c r="H138" s="388">
        <v>8</v>
      </c>
      <c r="I138" s="388">
        <v>12</v>
      </c>
      <c r="J138" s="388">
        <v>15</v>
      </c>
      <c r="K138" s="572"/>
      <c r="L138" s="356" t="s">
        <v>53</v>
      </c>
      <c r="M138" s="635" t="str">
        <f>IF(Contents!$B$2=2,"Yes","Да")</f>
        <v>Да</v>
      </c>
      <c r="N138" s="466"/>
    </row>
    <row r="139" spans="2:14" ht="22.5" customHeight="1">
      <c r="B139" s="330" t="str">
        <f>IF(Contents!$B$2=2,"Minor injuries","случаи легкого травматизма")</f>
        <v>случаи легкого травматизма</v>
      </c>
      <c r="C139" s="349" t="s">
        <v>6</v>
      </c>
      <c r="D139" s="313">
        <v>5</v>
      </c>
      <c r="E139" s="313">
        <v>5</v>
      </c>
      <c r="F139" s="313">
        <v>11</v>
      </c>
      <c r="G139" s="313">
        <v>10</v>
      </c>
      <c r="H139" s="313">
        <v>8</v>
      </c>
      <c r="I139" s="176">
        <v>10</v>
      </c>
      <c r="J139" s="398">
        <v>13</v>
      </c>
      <c r="K139" s="572"/>
      <c r="L139" s="357"/>
      <c r="M139" s="676" t="str">
        <f>IF(Contents!$B$2=2,"Yes","Да")</f>
        <v>Да</v>
      </c>
      <c r="N139" s="466"/>
    </row>
    <row r="140" spans="2:14" ht="22.5" customHeight="1">
      <c r="B140" s="330" t="str">
        <f>IF(Contents!$B$2=2,"Severe injuries","случаи тяжелого травматизма")</f>
        <v>случаи тяжелого травматизма</v>
      </c>
      <c r="C140" s="349" t="s">
        <v>6</v>
      </c>
      <c r="D140" s="313">
        <v>0</v>
      </c>
      <c r="E140" s="313">
        <v>0</v>
      </c>
      <c r="F140" s="313">
        <v>1</v>
      </c>
      <c r="G140" s="313">
        <v>0</v>
      </c>
      <c r="H140" s="313">
        <v>0</v>
      </c>
      <c r="I140" s="176">
        <v>2</v>
      </c>
      <c r="J140" s="398">
        <v>0</v>
      </c>
      <c r="K140" s="572"/>
      <c r="L140" s="357"/>
      <c r="M140" s="676" t="str">
        <f>IF(Contents!$B$2=2,"Yes","Да")</f>
        <v>Да</v>
      </c>
      <c r="N140" s="466"/>
    </row>
    <row r="141" spans="2:14" ht="22.5" customHeight="1">
      <c r="B141" s="330" t="str">
        <f>IF(Contents!$B$2=2,"Fatalities","случаи со смертельным исходом")</f>
        <v>случаи со смертельным исходом</v>
      </c>
      <c r="C141" s="349" t="s">
        <v>6</v>
      </c>
      <c r="D141" s="313">
        <v>0</v>
      </c>
      <c r="E141" s="313">
        <v>0</v>
      </c>
      <c r="F141" s="313">
        <v>1</v>
      </c>
      <c r="G141" s="313">
        <v>0</v>
      </c>
      <c r="H141" s="313">
        <v>0</v>
      </c>
      <c r="I141" s="176">
        <v>0</v>
      </c>
      <c r="J141" s="398">
        <v>2</v>
      </c>
      <c r="K141" s="572"/>
      <c r="L141" s="357"/>
      <c r="M141" s="676" t="str">
        <f>IF(Contents!$B$2=2,"Yes","Да")</f>
        <v>Да</v>
      </c>
      <c r="N141" s="466"/>
    </row>
    <row r="142" spans="2:14" ht="22.5" customHeight="1">
      <c r="B142" s="45" t="str">
        <f>IF(Contents!$B$2=2,"Number of employees affected by work-related accidents","Количество пострадавших от несчастных случаев на производстве")</f>
        <v>Количество пострадавших от несчастных случаев на производстве</v>
      </c>
      <c r="C142" s="348" t="str">
        <f>IF(Contents!$B$2=2,"people","человек")</f>
        <v>человек</v>
      </c>
      <c r="D142" s="389" t="s">
        <v>12</v>
      </c>
      <c r="E142" s="389" t="s">
        <v>12</v>
      </c>
      <c r="F142" s="389" t="s">
        <v>12</v>
      </c>
      <c r="G142" s="389" t="s">
        <v>12</v>
      </c>
      <c r="H142" s="313">
        <v>9</v>
      </c>
      <c r="I142" s="176">
        <v>12</v>
      </c>
      <c r="J142" s="398">
        <v>18</v>
      </c>
      <c r="K142" s="572"/>
      <c r="L142" s="357"/>
      <c r="M142" s="676" t="str">
        <f>IF(Contents!$B$2=2,"Yes","Да")</f>
        <v>Да</v>
      </c>
      <c r="N142" s="466"/>
    </row>
    <row r="143" spans="2:14" ht="22.5" customHeight="1">
      <c r="B143" s="45" t="str">
        <f>IF(Contents!$B$2=2,"Work-related fatalities","Количество погибших от несчастных случаев на производстве")</f>
        <v>Количество погибших от несчастных случаев на производстве</v>
      </c>
      <c r="C143" s="348" t="str">
        <f>IF(Contents!$B$2=2,"people","человек")</f>
        <v>человек</v>
      </c>
      <c r="D143" s="389" t="s">
        <v>12</v>
      </c>
      <c r="E143" s="389" t="s">
        <v>12</v>
      </c>
      <c r="F143" s="389" t="s">
        <v>12</v>
      </c>
      <c r="G143" s="389" t="s">
        <v>12</v>
      </c>
      <c r="H143" s="313">
        <v>0</v>
      </c>
      <c r="I143" s="176">
        <v>0</v>
      </c>
      <c r="J143" s="398">
        <v>2</v>
      </c>
      <c r="K143" s="572"/>
      <c r="L143" s="357"/>
      <c r="M143" s="676" t="str">
        <f>IF(Contents!$B$2=2,"Yes","Да")</f>
        <v>Да</v>
      </c>
      <c r="N143" s="466"/>
    </row>
    <row r="144" spans="2:14" ht="22.5" customHeight="1">
      <c r="B144" s="39" t="str">
        <f>IF(Contents!$B$2=2,"Work-related injury rates among contractors","Показатели производственного травматизма по подрядным организациям")</f>
        <v>Показатели производственного травматизма по подрядным организациям</v>
      </c>
      <c r="C144" s="353"/>
      <c r="D144" s="372"/>
      <c r="E144" s="372"/>
      <c r="F144" s="372"/>
      <c r="G144" s="372"/>
      <c r="H144" s="372"/>
      <c r="I144" s="372"/>
      <c r="J144" s="372"/>
      <c r="K144" s="565"/>
      <c r="L144" s="356" t="s">
        <v>53</v>
      </c>
      <c r="M144" s="623"/>
      <c r="N144" s="466"/>
    </row>
    <row r="145" spans="2:14" ht="22.5" customHeight="1">
      <c r="B145" s="54" t="str">
        <f>IF(Contents!$B$2=2,"LTIFR","LTIFR (Коэффициент частоты производственных травм с временной потерей трудоспособности)")</f>
        <v>LTIFR (Коэффициент частоты производственных травм с временной потерей трудоспособности)</v>
      </c>
      <c r="C145" s="349"/>
      <c r="D145" s="389" t="s">
        <v>12</v>
      </c>
      <c r="E145" s="389" t="s">
        <v>12</v>
      </c>
      <c r="F145" s="389" t="s">
        <v>12</v>
      </c>
      <c r="G145" s="389" t="s">
        <v>12</v>
      </c>
      <c r="H145" s="389" t="s">
        <v>12</v>
      </c>
      <c r="I145" s="396">
        <v>0.3</v>
      </c>
      <c r="J145" s="397">
        <v>0.42</v>
      </c>
      <c r="K145" s="580"/>
      <c r="L145" s="357"/>
      <c r="M145" s="676" t="str">
        <f>IF(Contents!$B$2=2,"Yes","Да")</f>
        <v>Да</v>
      </c>
      <c r="N145" s="466"/>
    </row>
    <row r="146" spans="2:14" ht="22.5" customHeight="1">
      <c r="B146" s="54" t="str">
        <f>IF(Contents!$B$2=2,"FR (Fatality rate)","FR (Коэффициент несчастных случаев со смертельным исходом)")</f>
        <v>FR (Коэффициент несчастных случаев со смертельным исходом)</v>
      </c>
      <c r="C146" s="354"/>
      <c r="D146" s="389" t="s">
        <v>12</v>
      </c>
      <c r="E146" s="389" t="s">
        <v>12</v>
      </c>
      <c r="F146" s="389" t="s">
        <v>12</v>
      </c>
      <c r="G146" s="389" t="s">
        <v>12</v>
      </c>
      <c r="H146" s="389" t="s">
        <v>12</v>
      </c>
      <c r="I146" s="396">
        <v>0.01</v>
      </c>
      <c r="J146" s="397">
        <v>0.02</v>
      </c>
      <c r="K146" s="580"/>
      <c r="L146" s="357"/>
      <c r="M146" s="676" t="str">
        <f>IF(Contents!$B$2=2,"Yes","Да")</f>
        <v>Да</v>
      </c>
      <c r="N146" s="466"/>
    </row>
    <row r="147" spans="2:14" ht="22.5" customHeight="1">
      <c r="B147" s="39" t="str">
        <f>IF(Contents!$B$2=2,"Number of employee work-related injuries among contractors","Количество несчастных случаев на производстве по подрядным организациям")</f>
        <v>Количество несчастных случаев на производстве по подрядным организациям</v>
      </c>
      <c r="C147" s="351" t="s">
        <v>6</v>
      </c>
      <c r="D147" s="387" t="s">
        <v>12</v>
      </c>
      <c r="E147" s="387" t="s">
        <v>12</v>
      </c>
      <c r="F147" s="387" t="s">
        <v>12</v>
      </c>
      <c r="G147" s="387" t="s">
        <v>12</v>
      </c>
      <c r="H147" s="387" t="s">
        <v>12</v>
      </c>
      <c r="I147" s="339">
        <v>112</v>
      </c>
      <c r="J147" s="339">
        <v>110</v>
      </c>
      <c r="K147" s="545"/>
      <c r="L147" s="356" t="s">
        <v>53</v>
      </c>
      <c r="M147" s="623"/>
      <c r="N147" s="466"/>
    </row>
    <row r="148" spans="2:14" ht="22.5" customHeight="1">
      <c r="B148" s="330" t="str">
        <f>IF(Contents!$B$2=2,"Fatalities","случаи со смертельным исходом")</f>
        <v>случаи со смертельным исходом</v>
      </c>
      <c r="C148" s="349" t="s">
        <v>6</v>
      </c>
      <c r="D148" s="389" t="s">
        <v>12</v>
      </c>
      <c r="E148" s="389" t="s">
        <v>12</v>
      </c>
      <c r="F148" s="389" t="s">
        <v>12</v>
      </c>
      <c r="G148" s="389" t="s">
        <v>12</v>
      </c>
      <c r="H148" s="389" t="s">
        <v>12</v>
      </c>
      <c r="I148" s="313">
        <v>3</v>
      </c>
      <c r="J148" s="375">
        <v>6</v>
      </c>
      <c r="K148" s="577"/>
      <c r="L148" s="357"/>
      <c r="M148" s="676" t="str">
        <f>IF(Contents!$B$2=2,"Yes","Да")</f>
        <v>Да</v>
      </c>
      <c r="N148" s="466"/>
    </row>
    <row r="149" spans="2:14" ht="22.5" customHeight="1">
      <c r="B149" s="45" t="str">
        <f>IF(Contents!$B$2=2,"Number of employees affected by work-related accidents","Количество пострадавших от несчастных случаев на производстве")</f>
        <v>Количество пострадавших от несчастных случаев на производстве</v>
      </c>
      <c r="C149" s="348" t="str">
        <f>IF(Contents!$B$2=2,"people","человек")</f>
        <v>человек</v>
      </c>
      <c r="D149" s="389" t="s">
        <v>12</v>
      </c>
      <c r="E149" s="389" t="s">
        <v>12</v>
      </c>
      <c r="F149" s="389" t="s">
        <v>12</v>
      </c>
      <c r="G149" s="389" t="s">
        <v>12</v>
      </c>
      <c r="H149" s="389" t="s">
        <v>12</v>
      </c>
      <c r="I149" s="176">
        <v>112</v>
      </c>
      <c r="J149" s="375">
        <v>122</v>
      </c>
      <c r="K149" s="577"/>
      <c r="L149" s="357"/>
      <c r="M149" s="676" t="str">
        <f>IF(Contents!$B$2=2,"Yes","Да")</f>
        <v>Да</v>
      </c>
      <c r="N149" s="466"/>
    </row>
    <row r="150" spans="2:14" ht="22.5" customHeight="1">
      <c r="B150" s="45" t="str">
        <f>IF(Contents!$B$2=2,"Work-related fatalities","Количество погибших от несчастных случаев на производстве")</f>
        <v>Количество погибших от несчастных случаев на производстве</v>
      </c>
      <c r="C150" s="348" t="str">
        <f>IF(Contents!$B$2=2,"people","человек")</f>
        <v>человек</v>
      </c>
      <c r="D150" s="389" t="s">
        <v>12</v>
      </c>
      <c r="E150" s="389" t="s">
        <v>12</v>
      </c>
      <c r="F150" s="389" t="s">
        <v>12</v>
      </c>
      <c r="G150" s="389" t="s">
        <v>12</v>
      </c>
      <c r="H150" s="389" t="s">
        <v>12</v>
      </c>
      <c r="I150" s="176">
        <v>3</v>
      </c>
      <c r="J150" s="398">
        <v>12</v>
      </c>
      <c r="K150" s="572"/>
      <c r="L150" s="357"/>
      <c r="M150" s="676" t="str">
        <f>IF(Contents!$B$2=2,"Yes","Да")</f>
        <v>Да</v>
      </c>
      <c r="N150" s="466"/>
    </row>
    <row r="151" spans="2:14" ht="22.5" customHeight="1">
      <c r="B151" s="39" t="str">
        <f>IF(Contents!$B$2=2,"Number of employees who completed OHS training","Количество работников, прошедших обучение по охране труда")</f>
        <v>Количество работников, прошедших обучение по охране труда</v>
      </c>
      <c r="C151" s="347"/>
      <c r="D151" s="388"/>
      <c r="E151" s="388"/>
      <c r="F151" s="388"/>
      <c r="G151" s="388"/>
      <c r="H151" s="388"/>
      <c r="I151" s="399"/>
      <c r="J151" s="372"/>
      <c r="K151" s="565"/>
      <c r="L151" s="356" t="s">
        <v>54</v>
      </c>
      <c r="M151" s="623"/>
      <c r="N151" s="466"/>
    </row>
    <row r="152" spans="2:14" ht="22.5" customHeight="1">
      <c r="B152" s="54" t="str">
        <f>IF(Contents!$B$2=2,"OHS training","Обучение охране труда")</f>
        <v>Обучение охране труда</v>
      </c>
      <c r="C152" s="348" t="s">
        <v>6</v>
      </c>
      <c r="D152" s="313">
        <v>4324</v>
      </c>
      <c r="E152" s="313">
        <v>6852</v>
      </c>
      <c r="F152" s="313">
        <v>7327</v>
      </c>
      <c r="G152" s="313">
        <v>8153</v>
      </c>
      <c r="H152" s="313">
        <v>10256</v>
      </c>
      <c r="I152" s="374">
        <v>11518</v>
      </c>
      <c r="J152" s="375">
        <v>12142</v>
      </c>
      <c r="K152" s="577"/>
      <c r="L152" s="357"/>
      <c r="M152" s="676" t="str">
        <f>IF(Contents!$B$2=2,"Yes","Да")</f>
        <v>Да</v>
      </c>
      <c r="N152" s="466"/>
    </row>
    <row r="153" spans="2:14" ht="22.5" customHeight="1">
      <c r="B153" s="54" t="str">
        <f>IF(Contents!$B$2=2,"First aid training","Оказание первой помощи при несчастных случаях")</f>
        <v>Оказание первой помощи при несчастных случаях</v>
      </c>
      <c r="C153" s="348" t="s">
        <v>6</v>
      </c>
      <c r="D153" s="389" t="s">
        <v>12</v>
      </c>
      <c r="E153" s="389" t="s">
        <v>12</v>
      </c>
      <c r="F153" s="313">
        <v>6006</v>
      </c>
      <c r="G153" s="313">
        <v>7757</v>
      </c>
      <c r="H153" s="313">
        <v>10134</v>
      </c>
      <c r="I153" s="374">
        <v>10394</v>
      </c>
      <c r="J153" s="375">
        <v>10902</v>
      </c>
      <c r="K153" s="577"/>
      <c r="L153" s="357"/>
      <c r="M153" s="676" t="str">
        <f>IF(Contents!$B$2=2,"Yes","Да")</f>
        <v>Да</v>
      </c>
      <c r="N153" s="466"/>
    </row>
    <row r="154" spans="2:14" ht="22.5" customHeight="1">
      <c r="B154" s="54" t="str">
        <f>IF(Contents!$B$2=2,"OHS training and certification","Обучение и сертификация по охране труда")</f>
        <v>Обучение и сертификация по охране труда</v>
      </c>
      <c r="C154" s="348" t="s">
        <v>6</v>
      </c>
      <c r="D154" s="389" t="s">
        <v>12</v>
      </c>
      <c r="E154" s="313">
        <v>3018</v>
      </c>
      <c r="F154" s="313">
        <v>3189</v>
      </c>
      <c r="G154" s="313">
        <v>2966</v>
      </c>
      <c r="H154" s="313">
        <v>2544</v>
      </c>
      <c r="I154" s="374">
        <v>2479</v>
      </c>
      <c r="J154" s="375">
        <v>2837</v>
      </c>
      <c r="K154" s="577"/>
      <c r="L154" s="357"/>
      <c r="M154" s="676" t="str">
        <f>IF(Contents!$B$2=2,"Yes","Да")</f>
        <v>Да</v>
      </c>
      <c r="N154" s="466"/>
    </row>
    <row r="155" spans="2:14" ht="22.5" customHeight="1">
      <c r="B155" s="39" t="str">
        <f>IF(Contents!$B$2=2,"Occupational diseases at the NOVATEK Group","Профессиональные заболевания по Группе")</f>
        <v>Профессиональные заболевания по Группе</v>
      </c>
      <c r="C155" s="347" t="s">
        <v>6</v>
      </c>
      <c r="D155" s="387">
        <v>0</v>
      </c>
      <c r="E155" s="387">
        <v>0</v>
      </c>
      <c r="F155" s="387">
        <v>0</v>
      </c>
      <c r="G155" s="387">
        <v>0</v>
      </c>
      <c r="H155" s="387">
        <v>0</v>
      </c>
      <c r="I155" s="387">
        <v>0</v>
      </c>
      <c r="J155" s="387">
        <v>0</v>
      </c>
      <c r="K155" s="579"/>
      <c r="L155" s="677" t="s">
        <v>55</v>
      </c>
      <c r="M155" s="635" t="str">
        <f>IF(Contents!$B$2=2,"Yes","Да")</f>
        <v>Да</v>
      </c>
      <c r="N155" s="466"/>
    </row>
    <row r="156" spans="2:14" ht="22.5" customHeight="1">
      <c r="B156" s="53"/>
      <c r="C156" s="349"/>
      <c r="D156" s="313"/>
      <c r="E156" s="313"/>
      <c r="F156" s="313"/>
      <c r="G156" s="313"/>
      <c r="H156" s="313"/>
      <c r="I156" s="176"/>
      <c r="J156" s="273"/>
      <c r="K156" s="565"/>
      <c r="L156" s="358"/>
      <c r="M156" s="625"/>
      <c r="N156" s="466"/>
    </row>
    <row r="157" spans="2:14" ht="22.5" customHeight="1">
      <c r="B157" s="69" t="str">
        <f>IF(Contents!$B$2=2,"Spending on OHS, fire safety and security","Расходы на охрану труда, пожарную безопасность и охрану объектов")</f>
        <v>Расходы на охрану труда, пожарную безопасность и охрану объектов</v>
      </c>
      <c r="C157" s="348" t="str">
        <f>IF(Contents!$B$2=2,"RR bln","млрд руб.")</f>
        <v>млрд руб.</v>
      </c>
      <c r="D157" s="389" t="s">
        <v>12</v>
      </c>
      <c r="E157" s="389" t="s">
        <v>12</v>
      </c>
      <c r="F157" s="381">
        <v>1.168</v>
      </c>
      <c r="G157" s="381">
        <v>1.447</v>
      </c>
      <c r="H157" s="381">
        <v>1.651</v>
      </c>
      <c r="I157" s="381">
        <v>2.436</v>
      </c>
      <c r="J157" s="402">
        <v>2.485</v>
      </c>
      <c r="K157" s="602"/>
      <c r="L157" s="358"/>
      <c r="M157" s="676" t="str">
        <f>IF(Contents!$B$2=2,"Yes","Да")</f>
        <v>Да</v>
      </c>
      <c r="N157" s="466"/>
    </row>
    <row r="158" spans="13:14" ht="22.5" customHeight="1">
      <c r="M158" s="609"/>
      <c r="N158" s="465"/>
    </row>
    <row r="159" spans="2:14" s="419" customFormat="1" ht="15" customHeight="1">
      <c r="B159" s="326"/>
      <c r="C159" s="416"/>
      <c r="D159" s="417"/>
      <c r="E159" s="417"/>
      <c r="F159" s="417"/>
      <c r="G159" s="417"/>
      <c r="H159" s="417"/>
      <c r="I159" s="418"/>
      <c r="J159" s="417"/>
      <c r="K159" s="582"/>
      <c r="L159" s="60"/>
      <c r="N159" s="467"/>
    </row>
    <row r="160" spans="2:14" ht="24.75" customHeight="1">
      <c r="B160" s="88"/>
      <c r="L160" s="61"/>
      <c r="N160" s="465"/>
    </row>
    <row r="161" spans="2:14" ht="24.75" customHeight="1">
      <c r="B161" s="88"/>
      <c r="L161" s="62"/>
      <c r="N161" s="465"/>
    </row>
    <row r="162" spans="2:14" ht="24.75" customHeight="1">
      <c r="B162" s="88"/>
      <c r="L162" s="62"/>
      <c r="N162" s="465"/>
    </row>
    <row r="163" spans="2:14" ht="24.75" customHeight="1">
      <c r="B163" s="47"/>
      <c r="L163" s="58"/>
      <c r="N163" s="465"/>
    </row>
    <row r="164" spans="2:14" ht="24.75" customHeight="1">
      <c r="B164" s="47"/>
      <c r="L164" s="58"/>
      <c r="N164" s="465"/>
    </row>
  </sheetData>
  <sheetProtection/>
  <hyperlinks>
    <hyperlink ref="B1" location="Contents!A1" display="← Back to Contents"/>
  </hyperlinks>
  <printOptions/>
  <pageMargins left="0.7" right="0.7" top="0.75" bottom="0.75" header="0.3" footer="0.3"/>
  <pageSetup horizontalDpi="600" verticalDpi="600" orientation="portrait" paperSize="9" scale="46" r:id="rId2"/>
  <rowBreaks count="1" manualBreakCount="1">
    <brk id="91" max="9" man="1"/>
  </rowBreaks>
  <drawing r:id="rId1"/>
</worksheet>
</file>

<file path=xl/worksheets/sheet4.xml><?xml version="1.0" encoding="utf-8"?>
<worksheet xmlns="http://schemas.openxmlformats.org/spreadsheetml/2006/main" xmlns:r="http://schemas.openxmlformats.org/officeDocument/2006/relationships">
  <sheetPr codeName="Sheet5">
    <tabColor theme="4" tint="0.39998000860214233"/>
  </sheetPr>
  <dimension ref="A1:N80"/>
  <sheetViews>
    <sheetView zoomScale="80" zoomScaleNormal="80" zoomScaleSheetLayoutView="90" zoomScalePageLayoutView="0" workbookViewId="0" topLeftCell="A1">
      <pane ySplit="3" topLeftCell="A4" activePane="bottomLeft" state="frozen"/>
      <selection pane="topLeft" activeCell="A1" sqref="A1"/>
      <selection pane="bottomLeft" activeCell="N12" sqref="N12"/>
    </sheetView>
  </sheetViews>
  <sheetFormatPr defaultColWidth="9.140625" defaultRowHeight="15"/>
  <cols>
    <col min="1" max="1" width="9.140625" style="17" customWidth="1"/>
    <col min="2" max="2" width="93.28125" style="17" bestFit="1" customWidth="1"/>
    <col min="3" max="3" width="13.421875" style="18" customWidth="1"/>
    <col min="4" max="8" width="16.57421875" style="17" customWidth="1"/>
    <col min="9" max="9" width="16.57421875" style="19" customWidth="1"/>
    <col min="10" max="10" width="16.57421875" style="17" customWidth="1"/>
    <col min="11" max="11" width="5.140625" style="611" customWidth="1"/>
    <col min="12" max="12" width="15.7109375" style="90" customWidth="1"/>
    <col min="13" max="13" width="10.7109375" style="17" customWidth="1"/>
    <col min="14" max="14" width="127.421875" style="17" customWidth="1"/>
    <col min="15" max="16384" width="9.140625" style="17" customWidth="1"/>
  </cols>
  <sheetData>
    <row r="1" spans="1:12" ht="76.5" customHeight="1">
      <c r="A1" s="70"/>
      <c r="B1" s="42" t="s">
        <v>11</v>
      </c>
      <c r="G1" s="72"/>
      <c r="L1" s="71"/>
    </row>
    <row r="2" spans="1:12" ht="37.5" customHeight="1">
      <c r="A2" s="73"/>
      <c r="B2" s="690" t="str">
        <f>IF(Contents!$B$2=2,"Corporate Governance","Корпоративное управление")</f>
        <v>Корпоративное управление</v>
      </c>
      <c r="C2" s="505"/>
      <c r="D2" s="506"/>
      <c r="E2" s="507"/>
      <c r="F2" s="508"/>
      <c r="G2" s="508"/>
      <c r="H2" s="508"/>
      <c r="I2" s="509"/>
      <c r="J2" s="510"/>
      <c r="K2" s="619"/>
      <c r="L2" s="610"/>
    </row>
    <row r="3" spans="1:14" ht="51" customHeight="1">
      <c r="A3" s="73"/>
      <c r="B3" s="74"/>
      <c r="C3" s="15"/>
      <c r="D3" s="15" t="s">
        <v>4</v>
      </c>
      <c r="E3" s="15" t="s">
        <v>3</v>
      </c>
      <c r="F3" s="15" t="s">
        <v>1</v>
      </c>
      <c r="G3" s="15">
        <v>2018</v>
      </c>
      <c r="H3" s="15">
        <v>2019</v>
      </c>
      <c r="I3" s="15">
        <v>2020</v>
      </c>
      <c r="J3" s="16">
        <v>2021</v>
      </c>
      <c r="K3" s="615"/>
      <c r="L3" s="197" t="str">
        <f>IF(Contents!$B$2=2,"Standards' indices","Индексы Стандартов")</f>
        <v>Индексы Стандартов</v>
      </c>
      <c r="M3" s="617" t="str">
        <f>IF(Contents!$B$2=2,"Subject to external assurance","Внешний аудит")</f>
        <v>Внешний аудит</v>
      </c>
      <c r="N3" s="197" t="str">
        <f>IF(Contents!$B$2=2,"Notes","Примечания")</f>
        <v>Примечания</v>
      </c>
    </row>
    <row r="4" spans="1:12" ht="12.75" customHeight="1">
      <c r="A4" s="73"/>
      <c r="B4" s="75"/>
      <c r="C4" s="75"/>
      <c r="D4" s="75"/>
      <c r="E4" s="75"/>
      <c r="F4" s="75"/>
      <c r="G4" s="75"/>
      <c r="H4" s="75"/>
      <c r="L4" s="76"/>
    </row>
    <row r="5" spans="2:13" s="77" customFormat="1" ht="40.5" customHeight="1">
      <c r="B5" s="20" t="str">
        <f>IF(Contents!$B$2=2,"BOARD OF DIRECTORS","СОВЕТ ДИРЕКТОРОВ")</f>
        <v>СОВЕТ ДИРЕКТОРОВ</v>
      </c>
      <c r="C5" s="15"/>
      <c r="D5" s="83"/>
      <c r="E5" s="83"/>
      <c r="F5" s="83"/>
      <c r="G5" s="83"/>
      <c r="H5" s="83"/>
      <c r="I5" s="84"/>
      <c r="J5" s="84"/>
      <c r="K5" s="604"/>
      <c r="L5" s="78"/>
      <c r="M5" s="648"/>
    </row>
    <row r="6" spans="2:14" s="85" customFormat="1" ht="22.5" customHeight="1">
      <c r="B6" s="39" t="str">
        <f>IF(Contents!$B$2=2,"Composition","Состав")</f>
        <v>Состав</v>
      </c>
      <c r="C6" s="411"/>
      <c r="D6" s="101"/>
      <c r="E6" s="101"/>
      <c r="F6" s="101"/>
      <c r="G6" s="101"/>
      <c r="H6" s="101"/>
      <c r="I6" s="412"/>
      <c r="J6" s="413"/>
      <c r="K6" s="607"/>
      <c r="L6" s="64" t="s">
        <v>41</v>
      </c>
      <c r="M6" s="646"/>
      <c r="N6" s="560" t="str">
        <f>IF(Contents!$B$2=2,"BoD composition as of 31 of December.","Cостав СД приведен по состоянию на 31 декабря.")</f>
        <v>Cостав СД приведен по состоянию на 31 декабря.</v>
      </c>
    </row>
    <row r="7" spans="2:14" ht="22.5" customHeight="1">
      <c r="B7" s="80" t="str">
        <f>IF(Contents!$B$2=2,"Board of Directors members","Члены Совета Директоров")</f>
        <v>Члены Совета Директоров</v>
      </c>
      <c r="C7" s="348" t="s">
        <v>6</v>
      </c>
      <c r="D7" s="373">
        <v>9</v>
      </c>
      <c r="E7" s="373">
        <v>9</v>
      </c>
      <c r="F7" s="373">
        <v>9</v>
      </c>
      <c r="G7" s="373">
        <v>9</v>
      </c>
      <c r="H7" s="373">
        <v>9</v>
      </c>
      <c r="I7" s="374">
        <v>9</v>
      </c>
      <c r="J7" s="375">
        <v>9</v>
      </c>
      <c r="K7" s="629"/>
      <c r="L7" s="81"/>
      <c r="M7" s="666" t="str">
        <f>IF(Contents!$B$2=2,"Yes","Да")</f>
        <v>Да</v>
      </c>
      <c r="N7" s="472"/>
    </row>
    <row r="8" spans="2:14" ht="23.25" customHeight="1">
      <c r="B8" s="414" t="str">
        <f>IF(Contents!$B$2=2,"Male","Мужчины")</f>
        <v>Мужчины</v>
      </c>
      <c r="C8" s="348" t="s">
        <v>6</v>
      </c>
      <c r="D8" s="373">
        <v>9</v>
      </c>
      <c r="E8" s="373">
        <v>9</v>
      </c>
      <c r="F8" s="373">
        <v>9</v>
      </c>
      <c r="G8" s="373">
        <v>9</v>
      </c>
      <c r="H8" s="373">
        <v>9</v>
      </c>
      <c r="I8" s="374">
        <v>8</v>
      </c>
      <c r="J8" s="375">
        <v>8</v>
      </c>
      <c r="K8" s="629"/>
      <c r="L8" s="44"/>
      <c r="M8" s="680" t="str">
        <f>IF(Contents!$B$2=2,"Yes","Да")</f>
        <v>Да</v>
      </c>
      <c r="N8" s="693" t="str">
        <f>B79&amp;" "&amp;B80</f>
        <v>За 2021 год данные приведены по состоянию на момент выбора СД - 23 апреля 2021 года.  На 31 декабря 2021 года количество членов СД составляло 8, двое из которых были независимыми, в связи с досрочным прекращением полномочий независимого члена СД Орлова В.П. в связи с его преждевременной кончиной.</v>
      </c>
    </row>
    <row r="9" spans="2:14" ht="22.5" customHeight="1">
      <c r="B9" s="414" t="str">
        <f>IF(Contents!$B$2=2,"Female","Женщины")</f>
        <v>Женщины</v>
      </c>
      <c r="C9" s="348" t="s">
        <v>6</v>
      </c>
      <c r="D9" s="373">
        <v>0</v>
      </c>
      <c r="E9" s="373">
        <v>0</v>
      </c>
      <c r="F9" s="373">
        <v>0</v>
      </c>
      <c r="G9" s="373">
        <v>0</v>
      </c>
      <c r="H9" s="373">
        <v>0</v>
      </c>
      <c r="I9" s="374">
        <v>1</v>
      </c>
      <c r="J9" s="375">
        <v>1</v>
      </c>
      <c r="K9" s="629"/>
      <c r="L9" s="44"/>
      <c r="M9" s="680" t="str">
        <f>IF(Contents!$B$2=2,"Yes","Да")</f>
        <v>Да</v>
      </c>
      <c r="N9" s="472"/>
    </row>
    <row r="10" spans="2:14" ht="22.5" customHeight="1">
      <c r="B10" s="127" t="str">
        <f>IF(Contents!$B$2=2,"Share of Female in BoD","Доля женщин в Совете директоров")</f>
        <v>Доля женщин в Совете директоров</v>
      </c>
      <c r="C10" s="348" t="s">
        <v>0</v>
      </c>
      <c r="D10" s="373">
        <v>0</v>
      </c>
      <c r="E10" s="373">
        <v>0</v>
      </c>
      <c r="F10" s="373">
        <v>0</v>
      </c>
      <c r="G10" s="373">
        <v>0</v>
      </c>
      <c r="H10" s="373">
        <v>0</v>
      </c>
      <c r="I10" s="373">
        <v>11</v>
      </c>
      <c r="J10" s="375">
        <v>11</v>
      </c>
      <c r="K10" s="629"/>
      <c r="L10" s="44"/>
      <c r="M10" s="680" t="str">
        <f>IF(Contents!$B$2=2,"Yes","Да")</f>
        <v>Да</v>
      </c>
      <c r="N10" s="472"/>
    </row>
    <row r="11" spans="2:14" ht="22.5" customHeight="1">
      <c r="B11" s="127"/>
      <c r="C11" s="348"/>
      <c r="D11" s="373"/>
      <c r="E11" s="373"/>
      <c r="F11" s="373"/>
      <c r="G11" s="373"/>
      <c r="H11" s="373"/>
      <c r="I11" s="373"/>
      <c r="J11" s="374"/>
      <c r="K11" s="629"/>
      <c r="L11" s="44"/>
      <c r="M11" s="680" t="str">
        <f>IF(Contents!$B$2=2,"Yes","Да")</f>
        <v>Да</v>
      </c>
      <c r="N11" s="472"/>
    </row>
    <row r="12" spans="2:14" ht="22.5" customHeight="1">
      <c r="B12" s="330" t="str">
        <f>IF(Contents!$B$2=2,"Independent directors at the Board of Directors","Независимые директора в Совете директоров")</f>
        <v>Независимые директора в Совете директоров</v>
      </c>
      <c r="C12" s="348" t="s">
        <v>6</v>
      </c>
      <c r="D12" s="373">
        <v>3</v>
      </c>
      <c r="E12" s="373">
        <v>3</v>
      </c>
      <c r="F12" s="373">
        <v>3</v>
      </c>
      <c r="G12" s="373">
        <v>3</v>
      </c>
      <c r="H12" s="373">
        <v>3</v>
      </c>
      <c r="I12" s="374">
        <v>3</v>
      </c>
      <c r="J12" s="375">
        <v>3</v>
      </c>
      <c r="K12" s="629"/>
      <c r="L12" s="45"/>
      <c r="M12" s="680" t="str">
        <f>IF(Contents!$B$2=2,"Yes","Да")</f>
        <v>Да</v>
      </c>
      <c r="N12" s="472"/>
    </row>
    <row r="13" spans="2:14" ht="22.5" customHeight="1">
      <c r="B13" s="127" t="str">
        <f>IF(Contents!$B$2=2,"Share of independent directors in BoD","Доля независимых членов в Совете директоров")</f>
        <v>Доля независимых членов в Совете директоров</v>
      </c>
      <c r="C13" s="348" t="s">
        <v>0</v>
      </c>
      <c r="D13" s="374">
        <v>33</v>
      </c>
      <c r="E13" s="374">
        <v>33</v>
      </c>
      <c r="F13" s="374">
        <v>33</v>
      </c>
      <c r="G13" s="374">
        <v>33</v>
      </c>
      <c r="H13" s="374">
        <v>33</v>
      </c>
      <c r="I13" s="374">
        <v>33</v>
      </c>
      <c r="J13" s="375">
        <v>33</v>
      </c>
      <c r="K13" s="629"/>
      <c r="L13" s="45"/>
      <c r="M13" s="680" t="str">
        <f>IF(Contents!$B$2=2,"Yes","Да")</f>
        <v>Да</v>
      </c>
      <c r="N13" s="472"/>
    </row>
    <row r="14" spans="2:14" ht="22.5" customHeight="1">
      <c r="B14" s="330" t="str">
        <f>IF(Contents!$B$2=2,"Executive directors at the Board of Directors","Исполнительные директора в Совете директоров")</f>
        <v>Исполнительные директора в Совете директоров</v>
      </c>
      <c r="C14" s="348" t="s">
        <v>6</v>
      </c>
      <c r="D14" s="373">
        <v>1</v>
      </c>
      <c r="E14" s="373">
        <v>1</v>
      </c>
      <c r="F14" s="373">
        <v>1</v>
      </c>
      <c r="G14" s="373">
        <v>1</v>
      </c>
      <c r="H14" s="373">
        <v>1</v>
      </c>
      <c r="I14" s="374">
        <v>1</v>
      </c>
      <c r="J14" s="375">
        <v>1</v>
      </c>
      <c r="K14" s="629"/>
      <c r="L14" s="45"/>
      <c r="M14" s="666" t="str">
        <f>IF(Contents!$B$2=2,"No","Нет")</f>
        <v>Нет</v>
      </c>
      <c r="N14" s="472"/>
    </row>
    <row r="15" spans="2:14" ht="22.5" customHeight="1">
      <c r="B15" s="39" t="str">
        <f>IF(Contents!$B$2=2,"Meetings","Заседания")</f>
        <v>Заседания</v>
      </c>
      <c r="C15" s="41"/>
      <c r="D15" s="105"/>
      <c r="E15" s="105"/>
      <c r="F15" s="105"/>
      <c r="G15" s="105"/>
      <c r="H15" s="105"/>
      <c r="I15" s="106"/>
      <c r="J15" s="107"/>
      <c r="K15" s="608"/>
      <c r="L15" s="64" t="s">
        <v>73</v>
      </c>
      <c r="M15" s="646"/>
      <c r="N15" s="472"/>
    </row>
    <row r="16" spans="2:14" ht="22.5" customHeight="1">
      <c r="B16" s="80" t="str">
        <f>IF(Contents!$B$2=2,"Number of meetings held","Количество проведенных заседаний")</f>
        <v>Количество проведенных заседаний</v>
      </c>
      <c r="C16" s="348" t="s">
        <v>6</v>
      </c>
      <c r="D16" s="373">
        <v>10</v>
      </c>
      <c r="E16" s="373">
        <v>10</v>
      </c>
      <c r="F16" s="373">
        <v>9</v>
      </c>
      <c r="G16" s="373">
        <v>14</v>
      </c>
      <c r="H16" s="373">
        <v>10</v>
      </c>
      <c r="I16" s="373">
        <v>13</v>
      </c>
      <c r="J16" s="375">
        <v>10</v>
      </c>
      <c r="K16" s="629"/>
      <c r="L16" s="81"/>
      <c r="M16" s="666" t="str">
        <f>IF(Contents!$B$2=2,"Yes","Да")</f>
        <v>Да</v>
      </c>
      <c r="N16" s="472"/>
    </row>
    <row r="17" spans="2:14" ht="22.5" customHeight="1">
      <c r="B17" s="80" t="str">
        <f>IF(Contents!$B$2=2,"Agenda items, including","Общее количество вопросов, рассмотренных на заседаниях Совета директоров, в т.ч.")</f>
        <v>Общее количество вопросов, рассмотренных на заседаниях Совета директоров, в т.ч.</v>
      </c>
      <c r="C17" s="348" t="s">
        <v>6</v>
      </c>
      <c r="D17" s="373" t="s">
        <v>12</v>
      </c>
      <c r="E17" s="373" t="s">
        <v>12</v>
      </c>
      <c r="F17" s="373" t="s">
        <v>12</v>
      </c>
      <c r="G17" s="373" t="s">
        <v>12</v>
      </c>
      <c r="H17" s="373" t="s">
        <v>12</v>
      </c>
      <c r="I17" s="373">
        <v>44</v>
      </c>
      <c r="J17" s="375">
        <v>45</v>
      </c>
      <c r="K17" s="629"/>
      <c r="L17" s="81"/>
      <c r="M17" s="666" t="str">
        <f>IF(Contents!$B$2=2,"No","Нет")</f>
        <v>Нет</v>
      </c>
      <c r="N17" s="472"/>
    </row>
    <row r="18" spans="2:14" ht="22.5" customHeight="1">
      <c r="B18" s="80" t="str">
        <f>IF(Contents!$B$2=2,"Sustainability items","вопросы устойчивого развития")</f>
        <v>вопросы устойчивого развития</v>
      </c>
      <c r="C18" s="348" t="s">
        <v>6</v>
      </c>
      <c r="D18" s="373" t="s">
        <v>12</v>
      </c>
      <c r="E18" s="373" t="s">
        <v>12</v>
      </c>
      <c r="F18" s="373" t="s">
        <v>12</v>
      </c>
      <c r="G18" s="373" t="s">
        <v>12</v>
      </c>
      <c r="H18" s="373" t="s">
        <v>12</v>
      </c>
      <c r="I18" s="373">
        <v>7</v>
      </c>
      <c r="J18" s="375">
        <v>9</v>
      </c>
      <c r="K18" s="629"/>
      <c r="L18" s="81"/>
      <c r="M18" s="666" t="str">
        <f>IF(Contents!$B$2=2,"No","Нет")</f>
        <v>Нет</v>
      </c>
      <c r="N18" s="472"/>
    </row>
    <row r="19" spans="2:14" ht="22.5" customHeight="1">
      <c r="B19" s="80"/>
      <c r="C19" s="34"/>
      <c r="D19" s="103"/>
      <c r="E19" s="103"/>
      <c r="F19" s="103"/>
      <c r="G19" s="103"/>
      <c r="H19" s="103"/>
      <c r="I19" s="104"/>
      <c r="J19" s="103"/>
      <c r="K19" s="614"/>
      <c r="L19" s="81"/>
      <c r="M19" s="650"/>
      <c r="N19" s="472"/>
    </row>
    <row r="20" spans="2:14" s="77" customFormat="1" ht="40.5" customHeight="1">
      <c r="B20" s="20" t="str">
        <f>IF(Contents!$B$2=2,"BOARD OF DIRECTORS COMMITTEES","КОМИТЕТЫ СОВЕТА ДИРЕКТОРОВ")</f>
        <v>КОМИТЕТЫ СОВЕТА ДИРЕКТОРОВ</v>
      </c>
      <c r="C20" s="15"/>
      <c r="D20" s="83"/>
      <c r="E20" s="83"/>
      <c r="F20" s="83"/>
      <c r="G20" s="83"/>
      <c r="H20" s="83"/>
      <c r="I20" s="84"/>
      <c r="J20" s="84"/>
      <c r="K20" s="604"/>
      <c r="L20" s="78"/>
      <c r="M20" s="648"/>
      <c r="N20" s="466" t="str">
        <f>IF(Contents!$B$2=2,"The data are given for the corporate year (from the date of the AGM to the date of the next AGM)."," Данные приведены за корпоративный год (с даты проведения ГОСА  до даты следующего ГОСА).")</f>
        <v> Данные приведены за корпоративный год (с даты проведения ГОСА  до даты следующего ГОСА).</v>
      </c>
    </row>
    <row r="21" spans="2:14" ht="22.5" customHeight="1">
      <c r="B21" s="39" t="str">
        <f>IF(Contents!$B$2=2,"Audit committee","Комитет по аудиту")</f>
        <v>Комитет по аудиту</v>
      </c>
      <c r="C21" s="41"/>
      <c r="D21" s="105"/>
      <c r="E21" s="105"/>
      <c r="F21" s="105"/>
      <c r="G21" s="105"/>
      <c r="H21" s="105"/>
      <c r="I21" s="102"/>
      <c r="J21" s="107"/>
      <c r="K21" s="608"/>
      <c r="L21" s="64" t="s">
        <v>41</v>
      </c>
      <c r="M21" s="646"/>
      <c r="N21" s="475"/>
    </row>
    <row r="22" spans="2:14" ht="22.5" customHeight="1">
      <c r="B22" s="80" t="str">
        <f>IF(Contents!$B$2=2,"Number of members","Количество членов")</f>
        <v>Количество членов</v>
      </c>
      <c r="C22" s="348" t="s">
        <v>6</v>
      </c>
      <c r="D22" s="421">
        <v>3</v>
      </c>
      <c r="E22" s="421">
        <v>3</v>
      </c>
      <c r="F22" s="421">
        <v>3</v>
      </c>
      <c r="G22" s="421">
        <v>3</v>
      </c>
      <c r="H22" s="421">
        <v>3</v>
      </c>
      <c r="I22" s="422">
        <v>3</v>
      </c>
      <c r="J22" s="423">
        <v>3</v>
      </c>
      <c r="K22" s="631"/>
      <c r="L22" s="96"/>
      <c r="M22" s="666" t="str">
        <f>IF(Contents!$B$2=2,"No","Нет")</f>
        <v>Нет</v>
      </c>
      <c r="N22" s="472"/>
    </row>
    <row r="23" spans="2:14" ht="22.5" customHeight="1">
      <c r="B23" s="80" t="str">
        <f>IF(Contents!$B$2=2,"Number of meetings held","Количество проведенных заседаний")</f>
        <v>Количество проведенных заседаний</v>
      </c>
      <c r="C23" s="348" t="s">
        <v>6</v>
      </c>
      <c r="D23" s="421">
        <v>5</v>
      </c>
      <c r="E23" s="421">
        <v>4</v>
      </c>
      <c r="F23" s="421">
        <v>4</v>
      </c>
      <c r="G23" s="421">
        <v>5</v>
      </c>
      <c r="H23" s="421">
        <v>4</v>
      </c>
      <c r="I23" s="422">
        <v>4</v>
      </c>
      <c r="J23" s="423">
        <v>4</v>
      </c>
      <c r="K23" s="631"/>
      <c r="L23" s="96"/>
      <c r="M23" s="680" t="str">
        <f>IF(Contents!$B$2=2,"No","Нет")</f>
        <v>Нет</v>
      </c>
      <c r="N23" s="472"/>
    </row>
    <row r="24" spans="2:14" ht="22.5" customHeight="1">
      <c r="B24" s="80"/>
      <c r="C24" s="348"/>
      <c r="D24" s="421"/>
      <c r="E24" s="421"/>
      <c r="F24" s="421"/>
      <c r="G24" s="421"/>
      <c r="H24" s="421"/>
      <c r="I24" s="422"/>
      <c r="J24" s="422"/>
      <c r="K24" s="631"/>
      <c r="L24" s="96"/>
      <c r="M24" s="652"/>
      <c r="N24" s="472"/>
    </row>
    <row r="25" spans="2:14" ht="22.5" customHeight="1">
      <c r="B25" s="80" t="str">
        <f>IF(Contents!$B$2=2,"Agenda items, including","Общее количество вопросов, рассмотренных на Комитете по аудиту, в т.ч.")</f>
        <v>Общее количество вопросов, рассмотренных на Комитете по аудиту, в т.ч.</v>
      </c>
      <c r="C25" s="348" t="s">
        <v>6</v>
      </c>
      <c r="D25" s="421" t="s">
        <v>12</v>
      </c>
      <c r="E25" s="421" t="s">
        <v>12</v>
      </c>
      <c r="F25" s="421" t="s">
        <v>12</v>
      </c>
      <c r="G25" s="421" t="s">
        <v>12</v>
      </c>
      <c r="H25" s="421" t="s">
        <v>12</v>
      </c>
      <c r="I25" s="422">
        <v>16</v>
      </c>
      <c r="J25" s="423">
        <v>17</v>
      </c>
      <c r="K25" s="631"/>
      <c r="L25" s="96"/>
      <c r="M25" s="666" t="str">
        <f>IF(Contents!$B$2=2,"No","Нет")</f>
        <v>Нет</v>
      </c>
      <c r="N25" s="472"/>
    </row>
    <row r="26" spans="2:14" ht="22.5" customHeight="1">
      <c r="B26" s="80" t="str">
        <f>IF(Contents!$B$2=2,"Sustainability items","вопросы устойчивого развития")</f>
        <v>вопросы устойчивого развития</v>
      </c>
      <c r="C26" s="348" t="s">
        <v>6</v>
      </c>
      <c r="D26" s="421" t="s">
        <v>12</v>
      </c>
      <c r="E26" s="421" t="s">
        <v>12</v>
      </c>
      <c r="F26" s="421" t="s">
        <v>12</v>
      </c>
      <c r="G26" s="421" t="s">
        <v>12</v>
      </c>
      <c r="H26" s="421" t="s">
        <v>12</v>
      </c>
      <c r="I26" s="422">
        <v>7</v>
      </c>
      <c r="J26" s="423">
        <v>8</v>
      </c>
      <c r="K26" s="631"/>
      <c r="L26" s="96"/>
      <c r="M26" s="666" t="str">
        <f>IF(Contents!$B$2=2,"No","Нет")</f>
        <v>Нет</v>
      </c>
      <c r="N26" s="472"/>
    </row>
    <row r="27" spans="2:14" ht="22.5" customHeight="1">
      <c r="B27" s="39" t="str">
        <f>IF(Contents!$B$2=2,"Strategy committee","Комитет по стратегии")</f>
        <v>Комитет по стратегии</v>
      </c>
      <c r="C27" s="41"/>
      <c r="D27" s="424"/>
      <c r="E27" s="424"/>
      <c r="F27" s="424"/>
      <c r="G27" s="424"/>
      <c r="H27" s="424"/>
      <c r="I27" s="425"/>
      <c r="J27" s="426"/>
      <c r="K27" s="616"/>
      <c r="L27" s="64" t="s">
        <v>41</v>
      </c>
      <c r="M27" s="646"/>
      <c r="N27" s="472"/>
    </row>
    <row r="28" spans="2:14" ht="22.5" customHeight="1">
      <c r="B28" s="80" t="str">
        <f>IF(Contents!$B$2=2,"Number of members","Количество членов")</f>
        <v>Количество членов</v>
      </c>
      <c r="C28" s="348" t="s">
        <v>6</v>
      </c>
      <c r="D28" s="421">
        <v>5</v>
      </c>
      <c r="E28" s="421">
        <v>5</v>
      </c>
      <c r="F28" s="421">
        <v>5</v>
      </c>
      <c r="G28" s="421">
        <v>5</v>
      </c>
      <c r="H28" s="421">
        <v>6</v>
      </c>
      <c r="I28" s="422">
        <v>6</v>
      </c>
      <c r="J28" s="423">
        <v>6</v>
      </c>
      <c r="K28" s="631"/>
      <c r="L28" s="96"/>
      <c r="M28" s="666" t="str">
        <f>IF(Contents!$B$2=2,"No","Нет")</f>
        <v>Нет</v>
      </c>
      <c r="N28" s="472"/>
    </row>
    <row r="29" spans="2:14" ht="22.5" customHeight="1">
      <c r="B29" s="80" t="str">
        <f>IF(Contents!$B$2=2,"Number of meetings held","Количество проведенных заседаний")</f>
        <v>Количество проведенных заседаний</v>
      </c>
      <c r="C29" s="348" t="s">
        <v>6</v>
      </c>
      <c r="D29" s="421">
        <v>4</v>
      </c>
      <c r="E29" s="421">
        <v>4</v>
      </c>
      <c r="F29" s="421">
        <v>3</v>
      </c>
      <c r="G29" s="421">
        <v>5</v>
      </c>
      <c r="H29" s="421">
        <v>4</v>
      </c>
      <c r="I29" s="422">
        <v>4</v>
      </c>
      <c r="J29" s="423">
        <v>4</v>
      </c>
      <c r="K29" s="631"/>
      <c r="L29" s="81"/>
      <c r="M29" s="666" t="str">
        <f>IF(Contents!$B$2=2,"No","Нет")</f>
        <v>Нет</v>
      </c>
      <c r="N29" s="472"/>
    </row>
    <row r="30" spans="2:14" ht="22.5" customHeight="1">
      <c r="B30" s="80"/>
      <c r="C30" s="348"/>
      <c r="D30" s="421"/>
      <c r="E30" s="421"/>
      <c r="F30" s="421"/>
      <c r="G30" s="421"/>
      <c r="H30" s="421"/>
      <c r="I30" s="422"/>
      <c r="J30" s="422"/>
      <c r="K30" s="631"/>
      <c r="L30" s="81"/>
      <c r="M30" s="652"/>
      <c r="N30" s="472"/>
    </row>
    <row r="31" spans="2:14" ht="22.5" customHeight="1">
      <c r="B31" s="80" t="str">
        <f>IF(Contents!$B$2=2,"Agenda items, including","Общее количество вопросов, рассмотренных на Комитете по стратегии, в т.ч.")</f>
        <v>Общее количество вопросов, рассмотренных на Комитете по стратегии, в т.ч.</v>
      </c>
      <c r="C31" s="348" t="s">
        <v>6</v>
      </c>
      <c r="D31" s="421" t="s">
        <v>12</v>
      </c>
      <c r="E31" s="421" t="s">
        <v>12</v>
      </c>
      <c r="F31" s="421" t="s">
        <v>12</v>
      </c>
      <c r="G31" s="421" t="s">
        <v>12</v>
      </c>
      <c r="H31" s="421" t="s">
        <v>12</v>
      </c>
      <c r="I31" s="422">
        <v>10</v>
      </c>
      <c r="J31" s="423">
        <v>10</v>
      </c>
      <c r="K31" s="631"/>
      <c r="L31" s="81"/>
      <c r="M31" s="666" t="str">
        <f>IF(Contents!$B$2=2,"No","Нет")</f>
        <v>Нет</v>
      </c>
      <c r="N31" s="472"/>
    </row>
    <row r="32" spans="2:14" ht="22.5" customHeight="1">
      <c r="B32" s="80" t="str">
        <f>IF(Contents!$B$2=2,"Sustainability items","вопросы устойчивого развития")</f>
        <v>вопросы устойчивого развития</v>
      </c>
      <c r="C32" s="348" t="s">
        <v>6</v>
      </c>
      <c r="D32" s="421" t="s">
        <v>12</v>
      </c>
      <c r="E32" s="421" t="s">
        <v>12</v>
      </c>
      <c r="F32" s="421" t="s">
        <v>12</v>
      </c>
      <c r="G32" s="421" t="s">
        <v>12</v>
      </c>
      <c r="H32" s="421" t="s">
        <v>12</v>
      </c>
      <c r="I32" s="422">
        <v>0</v>
      </c>
      <c r="J32" s="423">
        <v>2</v>
      </c>
      <c r="K32" s="631"/>
      <c r="L32" s="81"/>
      <c r="M32" s="666" t="str">
        <f>IF(Contents!$B$2=2,"No","Нет")</f>
        <v>Нет</v>
      </c>
      <c r="N32" s="472"/>
    </row>
    <row r="33" spans="2:14" ht="22.5" customHeight="1">
      <c r="B33" s="39" t="str">
        <f>IF(Contents!$B$2=2,"Remuneration and Nomination committee","Комитет по вознаграждениям и номинациям")</f>
        <v>Комитет по вознаграждениям и номинациям</v>
      </c>
      <c r="C33" s="41"/>
      <c r="D33" s="424"/>
      <c r="E33" s="424"/>
      <c r="F33" s="424"/>
      <c r="G33" s="424"/>
      <c r="H33" s="424"/>
      <c r="I33" s="425"/>
      <c r="J33" s="427"/>
      <c r="K33" s="603"/>
      <c r="L33" s="64" t="s">
        <v>41</v>
      </c>
      <c r="M33" s="646"/>
      <c r="N33" s="472"/>
    </row>
    <row r="34" spans="2:14" ht="22.5" customHeight="1">
      <c r="B34" s="80" t="str">
        <f>IF(Contents!$B$2=2,"Number of members","Количество членов")</f>
        <v>Количество членов</v>
      </c>
      <c r="C34" s="348" t="s">
        <v>6</v>
      </c>
      <c r="D34" s="421">
        <v>3</v>
      </c>
      <c r="E34" s="421">
        <v>3</v>
      </c>
      <c r="F34" s="421">
        <v>3</v>
      </c>
      <c r="G34" s="421">
        <v>3</v>
      </c>
      <c r="H34" s="421">
        <v>3</v>
      </c>
      <c r="I34" s="422">
        <v>3</v>
      </c>
      <c r="J34" s="423">
        <v>3</v>
      </c>
      <c r="K34" s="631"/>
      <c r="L34" s="96"/>
      <c r="M34" s="666" t="str">
        <f>IF(Contents!$B$2=2,"No","Нет")</f>
        <v>Нет</v>
      </c>
      <c r="N34" s="472"/>
    </row>
    <row r="35" spans="2:14" ht="22.5" customHeight="1">
      <c r="B35" s="80" t="str">
        <f>IF(Contents!$B$2=2,"Number of meetings held","Количество проведенных заседаний")</f>
        <v>Количество проведенных заседаний</v>
      </c>
      <c r="C35" s="348" t="s">
        <v>6</v>
      </c>
      <c r="D35" s="421">
        <v>4</v>
      </c>
      <c r="E35" s="421">
        <v>4</v>
      </c>
      <c r="F35" s="421">
        <v>4</v>
      </c>
      <c r="G35" s="421">
        <v>6</v>
      </c>
      <c r="H35" s="421">
        <v>4</v>
      </c>
      <c r="I35" s="422">
        <v>7</v>
      </c>
      <c r="J35" s="423">
        <v>5</v>
      </c>
      <c r="K35" s="631"/>
      <c r="L35" s="96"/>
      <c r="M35" s="666" t="str">
        <f>IF(Contents!$B$2=2,"No","Нет")</f>
        <v>Нет</v>
      </c>
      <c r="N35" s="472"/>
    </row>
    <row r="36" spans="2:14" ht="22.5" customHeight="1">
      <c r="B36" s="80"/>
      <c r="C36" s="348"/>
      <c r="D36" s="421"/>
      <c r="E36" s="421"/>
      <c r="F36" s="421"/>
      <c r="G36" s="421"/>
      <c r="H36" s="421"/>
      <c r="I36" s="422"/>
      <c r="J36" s="422"/>
      <c r="K36" s="631"/>
      <c r="L36" s="96"/>
      <c r="M36" s="652"/>
      <c r="N36" s="472"/>
    </row>
    <row r="37" spans="2:14" ht="22.5" customHeight="1">
      <c r="B37" s="80" t="str">
        <f>IF(Contents!$B$2=2,"Agenda items, including","Общее количество вопросов, рассмотренных на Комитете по вознаграждениям и номинациям")</f>
        <v>Общее количество вопросов, рассмотренных на Комитете по вознаграждениям и номинациям</v>
      </c>
      <c r="C37" s="348" t="s">
        <v>6</v>
      </c>
      <c r="D37" s="421" t="s">
        <v>12</v>
      </c>
      <c r="E37" s="421" t="s">
        <v>12</v>
      </c>
      <c r="F37" s="421" t="s">
        <v>12</v>
      </c>
      <c r="G37" s="421" t="s">
        <v>12</v>
      </c>
      <c r="H37" s="421" t="s">
        <v>12</v>
      </c>
      <c r="I37" s="422">
        <v>15</v>
      </c>
      <c r="J37" s="423">
        <v>19</v>
      </c>
      <c r="K37" s="631"/>
      <c r="L37" s="96"/>
      <c r="M37" s="666" t="str">
        <f>IF(Contents!$B$2=2,"No","Нет")</f>
        <v>Нет</v>
      </c>
      <c r="N37" s="472"/>
    </row>
    <row r="38" spans="2:14" ht="22.5" customHeight="1">
      <c r="B38" s="80" t="str">
        <f>IF(Contents!$B$2=2,"Sustainability items","вопросы устойчивого развития")</f>
        <v>вопросы устойчивого развития</v>
      </c>
      <c r="C38" s="348" t="s">
        <v>6</v>
      </c>
      <c r="D38" s="421" t="s">
        <v>12</v>
      </c>
      <c r="E38" s="421" t="s">
        <v>12</v>
      </c>
      <c r="F38" s="421" t="s">
        <v>12</v>
      </c>
      <c r="G38" s="421" t="s">
        <v>12</v>
      </c>
      <c r="H38" s="421" t="s">
        <v>12</v>
      </c>
      <c r="I38" s="422">
        <v>10</v>
      </c>
      <c r="J38" s="423">
        <v>13</v>
      </c>
      <c r="K38" s="631"/>
      <c r="L38" s="96"/>
      <c r="M38" s="680" t="str">
        <f>IF(Contents!$B$2=2,"No","Нет")</f>
        <v>Нет</v>
      </c>
      <c r="N38" s="472"/>
    </row>
    <row r="39" spans="2:14" ht="22.5" customHeight="1">
      <c r="B39" s="39" t="str">
        <f>IF(Contents!$B$2=2,"Subcommittee on Climate and Alternative Energy","Подкомитет по климату и альтернативной энергетике при Комитете по стратегии")</f>
        <v>Подкомитет по климату и альтернативной энергетике при Комитете по стратегии</v>
      </c>
      <c r="C39" s="41"/>
      <c r="D39" s="424"/>
      <c r="E39" s="424"/>
      <c r="F39" s="424"/>
      <c r="G39" s="424"/>
      <c r="H39" s="424"/>
      <c r="I39" s="425"/>
      <c r="J39" s="425"/>
      <c r="K39" s="631"/>
      <c r="L39" s="64" t="s">
        <v>41</v>
      </c>
      <c r="M39" s="646"/>
      <c r="N39" s="472"/>
    </row>
    <row r="40" spans="2:14" ht="22.5" customHeight="1">
      <c r="B40" s="80" t="str">
        <f>IF(Contents!$B$2=2,"Number of members","Количество членов")</f>
        <v>Количество членов</v>
      </c>
      <c r="C40" s="348" t="s">
        <v>6</v>
      </c>
      <c r="D40" s="428" t="s">
        <v>12</v>
      </c>
      <c r="E40" s="428" t="s">
        <v>12</v>
      </c>
      <c r="F40" s="428" t="s">
        <v>12</v>
      </c>
      <c r="G40" s="428" t="s">
        <v>12</v>
      </c>
      <c r="H40" s="428" t="s">
        <v>12</v>
      </c>
      <c r="I40" s="428" t="s">
        <v>12</v>
      </c>
      <c r="J40" s="423">
        <v>6</v>
      </c>
      <c r="K40" s="631"/>
      <c r="L40" s="81"/>
      <c r="M40" s="680" t="str">
        <f>IF(Contents!$B$2=2,"No","Нет")</f>
        <v>Нет</v>
      </c>
      <c r="N40" s="472"/>
    </row>
    <row r="41" spans="2:14" ht="22.5" customHeight="1">
      <c r="B41" s="80" t="str">
        <f>IF(Contents!$B$2=2,"Number of meetings held","Количество проведенных заседаний")</f>
        <v>Количество проведенных заседаний</v>
      </c>
      <c r="C41" s="348" t="s">
        <v>6</v>
      </c>
      <c r="D41" s="428" t="s">
        <v>12</v>
      </c>
      <c r="E41" s="428" t="s">
        <v>12</v>
      </c>
      <c r="F41" s="428" t="s">
        <v>12</v>
      </c>
      <c r="G41" s="428" t="s">
        <v>12</v>
      </c>
      <c r="H41" s="428" t="s">
        <v>12</v>
      </c>
      <c r="I41" s="428" t="s">
        <v>12</v>
      </c>
      <c r="J41" s="423">
        <v>5</v>
      </c>
      <c r="K41" s="631"/>
      <c r="L41" s="81"/>
      <c r="M41" s="680" t="str">
        <f>IF(Contents!$B$2=2,"No","Нет")</f>
        <v>Нет</v>
      </c>
      <c r="N41" s="472"/>
    </row>
    <row r="42" spans="2:14" ht="22.5" customHeight="1">
      <c r="B42" s="80"/>
      <c r="C42" s="348"/>
      <c r="D42" s="428"/>
      <c r="E42" s="428"/>
      <c r="F42" s="428"/>
      <c r="G42" s="428"/>
      <c r="H42" s="428"/>
      <c r="I42" s="428"/>
      <c r="J42" s="422"/>
      <c r="K42" s="631"/>
      <c r="L42" s="81"/>
      <c r="M42" s="652"/>
      <c r="N42" s="472"/>
    </row>
    <row r="43" spans="2:14" ht="22.5" customHeight="1">
      <c r="B43" s="80" t="str">
        <f>IF(Contents!$B$2=2,"Agenda items, including","Общее количество вопросов, рассмотренных на Подкомитете")</f>
        <v>Общее количество вопросов, рассмотренных на Подкомитете</v>
      </c>
      <c r="C43" s="348" t="s">
        <v>6</v>
      </c>
      <c r="D43" s="421" t="s">
        <v>12</v>
      </c>
      <c r="E43" s="421" t="s">
        <v>12</v>
      </c>
      <c r="F43" s="421" t="s">
        <v>12</v>
      </c>
      <c r="G43" s="421" t="s">
        <v>12</v>
      </c>
      <c r="H43" s="421" t="s">
        <v>12</v>
      </c>
      <c r="I43" s="421" t="s">
        <v>12</v>
      </c>
      <c r="J43" s="423">
        <v>11</v>
      </c>
      <c r="K43" s="631"/>
      <c r="L43" s="81"/>
      <c r="M43" s="680" t="str">
        <f>IF(Contents!$B$2=2,"No","Нет")</f>
        <v>Нет</v>
      </c>
      <c r="N43" s="472"/>
    </row>
    <row r="44" spans="2:14" ht="22.5" customHeight="1">
      <c r="B44" s="80" t="str">
        <f>IF(Contents!$B$2=2,"Sustainability items","вопросы устойчивого развития")</f>
        <v>вопросы устойчивого развития</v>
      </c>
      <c r="C44" s="348" t="s">
        <v>6</v>
      </c>
      <c r="D44" s="421" t="s">
        <v>12</v>
      </c>
      <c r="E44" s="421" t="s">
        <v>12</v>
      </c>
      <c r="F44" s="421" t="s">
        <v>12</v>
      </c>
      <c r="G44" s="421" t="s">
        <v>12</v>
      </c>
      <c r="H44" s="421" t="s">
        <v>12</v>
      </c>
      <c r="I44" s="421" t="s">
        <v>12</v>
      </c>
      <c r="J44" s="423">
        <v>11</v>
      </c>
      <c r="K44" s="631"/>
      <c r="L44" s="81"/>
      <c r="M44" s="680" t="str">
        <f>IF(Contents!$B$2=2,"No","Нет")</f>
        <v>Нет</v>
      </c>
      <c r="N44" s="472"/>
    </row>
    <row r="45" spans="2:14" ht="22.5" customHeight="1">
      <c r="B45" s="80"/>
      <c r="C45" s="34"/>
      <c r="D45" s="421"/>
      <c r="E45" s="421"/>
      <c r="F45" s="421"/>
      <c r="G45" s="421"/>
      <c r="H45" s="421"/>
      <c r="I45" s="421"/>
      <c r="J45" s="421"/>
      <c r="K45" s="630"/>
      <c r="L45" s="81"/>
      <c r="M45" s="650"/>
      <c r="N45" s="472"/>
    </row>
    <row r="46" spans="2:14" s="77" customFormat="1" ht="40.5" customHeight="1">
      <c r="B46" s="20" t="str">
        <f>IF(Contents!$B$2=2,"MANAGEMENT BOARD","ПРАВЛЕНИЕ")</f>
        <v>ПРАВЛЕНИЕ</v>
      </c>
      <c r="C46" s="15"/>
      <c r="D46" s="429"/>
      <c r="E46" s="429"/>
      <c r="F46" s="429"/>
      <c r="G46" s="429"/>
      <c r="H46" s="429"/>
      <c r="I46" s="430"/>
      <c r="J46" s="430"/>
      <c r="K46" s="606"/>
      <c r="L46" s="78"/>
      <c r="M46" s="648"/>
      <c r="N46" s="466" t="str">
        <f>IF(Contents!$B$2=2,"As of 31 of December.","По состоянию на 31 декабря.")</f>
        <v>По состоянию на 31 декабря.</v>
      </c>
    </row>
    <row r="47" spans="2:14" ht="22.5" customHeight="1">
      <c r="B47" s="97" t="str">
        <f>IF(Contents!$B$2=2,"Number of members","Количество членов")</f>
        <v>Количество членов</v>
      </c>
      <c r="C47" s="347" t="s">
        <v>6</v>
      </c>
      <c r="D47" s="424">
        <v>9</v>
      </c>
      <c r="E47" s="424">
        <v>12</v>
      </c>
      <c r="F47" s="424">
        <v>11</v>
      </c>
      <c r="G47" s="424">
        <v>11</v>
      </c>
      <c r="H47" s="424">
        <v>13</v>
      </c>
      <c r="I47" s="425">
        <v>13</v>
      </c>
      <c r="J47" s="425">
        <v>13</v>
      </c>
      <c r="K47" s="631"/>
      <c r="L47" s="97"/>
      <c r="M47" s="665" t="str">
        <f>IF(Contents!$B$2=2,"No","Нет")</f>
        <v>Нет</v>
      </c>
      <c r="N47" s="472"/>
    </row>
    <row r="48" spans="2:14" ht="22.5" customHeight="1">
      <c r="B48" s="414" t="str">
        <f>IF(Contents!$B$2=2,"Male","Мужчины")</f>
        <v>Мужчины</v>
      </c>
      <c r="C48" s="348" t="s">
        <v>6</v>
      </c>
      <c r="D48" s="421">
        <v>8</v>
      </c>
      <c r="E48" s="421">
        <v>11</v>
      </c>
      <c r="F48" s="421">
        <v>10</v>
      </c>
      <c r="G48" s="421">
        <v>10</v>
      </c>
      <c r="H48" s="421">
        <v>12</v>
      </c>
      <c r="I48" s="422">
        <v>12</v>
      </c>
      <c r="J48" s="423">
        <v>12</v>
      </c>
      <c r="K48" s="631"/>
      <c r="L48" s="44"/>
      <c r="M48" s="680" t="str">
        <f>IF(Contents!$B$2=2,"No","Нет")</f>
        <v>Нет</v>
      </c>
      <c r="N48" s="472"/>
    </row>
    <row r="49" spans="2:14" ht="22.5" customHeight="1">
      <c r="B49" s="414" t="str">
        <f>IF(Contents!$B$2=2,"Female","Женщины")</f>
        <v>Женщины</v>
      </c>
      <c r="C49" s="348" t="s">
        <v>6</v>
      </c>
      <c r="D49" s="421">
        <v>1</v>
      </c>
      <c r="E49" s="421">
        <v>1</v>
      </c>
      <c r="F49" s="421">
        <v>1</v>
      </c>
      <c r="G49" s="421">
        <v>1</v>
      </c>
      <c r="H49" s="421">
        <v>1</v>
      </c>
      <c r="I49" s="422">
        <v>1</v>
      </c>
      <c r="J49" s="423">
        <v>1</v>
      </c>
      <c r="K49" s="631"/>
      <c r="L49" s="44"/>
      <c r="M49" s="680" t="str">
        <f>IF(Contents!$B$2=2,"No","Нет")</f>
        <v>Нет</v>
      </c>
      <c r="N49" s="472"/>
    </row>
    <row r="50" spans="2:14" ht="22.5" customHeight="1">
      <c r="B50" s="127" t="str">
        <f>IF(Contents!$B$2=2,"Share of Female in Management Board","Доля женщин в Совете директоров")</f>
        <v>Доля женщин в Совете директоров</v>
      </c>
      <c r="C50" s="348" t="s">
        <v>0</v>
      </c>
      <c r="D50" s="421">
        <v>11</v>
      </c>
      <c r="E50" s="421">
        <v>8</v>
      </c>
      <c r="F50" s="421">
        <v>9</v>
      </c>
      <c r="G50" s="421">
        <v>9</v>
      </c>
      <c r="H50" s="421">
        <v>8</v>
      </c>
      <c r="I50" s="422">
        <v>8</v>
      </c>
      <c r="J50" s="448">
        <v>8</v>
      </c>
      <c r="K50" s="605"/>
      <c r="L50" s="44"/>
      <c r="M50" s="680" t="str">
        <f>IF(Contents!$B$2=2,"No","Нет")</f>
        <v>Нет</v>
      </c>
      <c r="N50" s="472"/>
    </row>
    <row r="51" spans="2:14" s="77" customFormat="1" ht="40.5" customHeight="1">
      <c r="B51" s="20" t="str">
        <f>IF(Contents!$B$2=2,"REMUNERATION","ВОЗНАГРАЖДЕНИЕ")</f>
        <v>ВОЗНАГРАЖДЕНИЕ</v>
      </c>
      <c r="C51" s="15"/>
      <c r="D51" s="136"/>
      <c r="E51" s="136"/>
      <c r="F51" s="136"/>
      <c r="G51" s="136"/>
      <c r="H51" s="136"/>
      <c r="I51" s="335"/>
      <c r="J51" s="335"/>
      <c r="K51" s="621"/>
      <c r="L51" s="78"/>
      <c r="M51" s="648"/>
      <c r="N51" s="476"/>
    </row>
    <row r="52" spans="2:14" s="77" customFormat="1" ht="22.5" customHeight="1">
      <c r="B52" s="39" t="str">
        <f>IF(Contents!$B$2=2,"Remuneration to the Board of Directors and the Management Board","Вознаграждение Совету директоров и Правлению")</f>
        <v>Вознаграждение Совету директоров и Правлению</v>
      </c>
      <c r="C52" s="327"/>
      <c r="D52" s="431"/>
      <c r="E52" s="431"/>
      <c r="F52" s="431"/>
      <c r="G52" s="431"/>
      <c r="H52" s="431"/>
      <c r="I52" s="432"/>
      <c r="J52" s="433"/>
      <c r="K52" s="641"/>
      <c r="L52" s="64"/>
      <c r="M52" s="646"/>
      <c r="N52" s="476"/>
    </row>
    <row r="53" spans="2:14" ht="22.5" customHeight="1">
      <c r="B53" s="420" t="str">
        <f>IF(Contents!$B$2=2,"Remuneration to the Board of Directors","Вознаграждение Совету директоров")</f>
        <v>Вознаграждение Совету директоров</v>
      </c>
      <c r="C53" s="348" t="str">
        <f>IF(Contents!$B$2=2,"RR mln","млн руб.")</f>
        <v>млн руб.</v>
      </c>
      <c r="D53" s="434">
        <v>148.9</v>
      </c>
      <c r="E53" s="434">
        <v>133.4</v>
      </c>
      <c r="F53" s="434">
        <v>134</v>
      </c>
      <c r="G53" s="434">
        <v>129.7</v>
      </c>
      <c r="H53" s="435">
        <v>167.8</v>
      </c>
      <c r="I53" s="436">
        <v>212.3</v>
      </c>
      <c r="J53" s="437">
        <v>192.6</v>
      </c>
      <c r="K53" s="633"/>
      <c r="L53" s="81"/>
      <c r="M53" s="680" t="str">
        <f>IF(Contents!$B$2=2,"No","Нет")</f>
        <v>Нет</v>
      </c>
      <c r="N53" s="472"/>
    </row>
    <row r="54" spans="2:14" ht="22.5" customHeight="1">
      <c r="B54" s="420" t="str">
        <f>IF(Contents!$B$2=2,"Remuneration to the Management Board","Вознаграждение Правлению")</f>
        <v>Вознаграждение Правлению</v>
      </c>
      <c r="C54" s="348" t="str">
        <f>IF(Contents!$B$2=2,"RR mln","млн руб.")</f>
        <v>млн руб.</v>
      </c>
      <c r="D54" s="438">
        <v>2053.2</v>
      </c>
      <c r="E54" s="438">
        <v>1996.5</v>
      </c>
      <c r="F54" s="438">
        <v>2171</v>
      </c>
      <c r="G54" s="438">
        <v>3208.7</v>
      </c>
      <c r="H54" s="439">
        <v>4239.4</v>
      </c>
      <c r="I54" s="440">
        <v>7144</v>
      </c>
      <c r="J54" s="441">
        <v>3295</v>
      </c>
      <c r="K54" s="634"/>
      <c r="L54" s="81"/>
      <c r="M54" s="680" t="str">
        <f>IF(Contents!$B$2=2,"No","Нет")</f>
        <v>Нет</v>
      </c>
      <c r="N54" s="472"/>
    </row>
    <row r="55" spans="2:14" ht="22.5" customHeight="1">
      <c r="B55" s="39" t="str">
        <f>IF(Contents!$B$2=2,"Auditor's fee","Аудиторское вознаграждение")</f>
        <v>Аудиторское вознаграждение</v>
      </c>
      <c r="C55" s="347" t="str">
        <f>IF(Contents!$B$2=2,"RR mln","млн руб.")</f>
        <v>млн руб.</v>
      </c>
      <c r="D55" s="442">
        <v>41</v>
      </c>
      <c r="E55" s="442">
        <v>43</v>
      </c>
      <c r="F55" s="442">
        <v>43</v>
      </c>
      <c r="G55" s="442">
        <v>42</v>
      </c>
      <c r="H55" s="443">
        <v>49</v>
      </c>
      <c r="I55" s="444">
        <v>48</v>
      </c>
      <c r="J55" s="444">
        <v>49</v>
      </c>
      <c r="K55" s="634"/>
      <c r="L55" s="97"/>
      <c r="M55" s="665" t="str">
        <f>IF(Contents!$B$2=2,"No","Нет")</f>
        <v>Нет</v>
      </c>
      <c r="N55" s="472"/>
    </row>
    <row r="56" spans="2:14" ht="22.5" customHeight="1">
      <c r="B56" s="420" t="str">
        <f>IF(Contents!$B$2=2,"Audits of consolidated and statutory financial statements","Аудит консолидированной и обязательной финансовой отчетности")</f>
        <v>Аудит консолидированной и обязательной финансовой отчетности</v>
      </c>
      <c r="C56" s="348" t="str">
        <f>IF(Contents!$B$2=2,"RR mln","млн руб.")</f>
        <v>млн руб.</v>
      </c>
      <c r="D56" s="438">
        <v>31</v>
      </c>
      <c r="E56" s="438">
        <v>34</v>
      </c>
      <c r="F56" s="438">
        <v>34</v>
      </c>
      <c r="G56" s="438">
        <v>34</v>
      </c>
      <c r="H56" s="439">
        <v>37</v>
      </c>
      <c r="I56" s="440">
        <v>37</v>
      </c>
      <c r="J56" s="441">
        <v>38</v>
      </c>
      <c r="K56" s="634"/>
      <c r="L56" s="81"/>
      <c r="M56" s="666" t="s">
        <v>16</v>
      </c>
      <c r="N56" s="472"/>
    </row>
    <row r="57" spans="2:14" ht="22.5" customHeight="1">
      <c r="B57" s="420" t="str">
        <f>IF(Contents!$B$2=2,"Other services","Другие услуги")</f>
        <v>Другие услуги</v>
      </c>
      <c r="C57" s="348" t="str">
        <f>IF(Contents!$B$2=2,"RR mln","млн руб.")</f>
        <v>млн руб.</v>
      </c>
      <c r="D57" s="438">
        <v>10</v>
      </c>
      <c r="E57" s="438">
        <v>9</v>
      </c>
      <c r="F57" s="438">
        <v>9</v>
      </c>
      <c r="G57" s="438">
        <v>8</v>
      </c>
      <c r="H57" s="439">
        <v>12</v>
      </c>
      <c r="I57" s="440">
        <v>11</v>
      </c>
      <c r="J57" s="441">
        <v>11</v>
      </c>
      <c r="K57" s="634"/>
      <c r="L57" s="81"/>
      <c r="M57" s="680" t="s">
        <v>16</v>
      </c>
      <c r="N57" s="472"/>
    </row>
    <row r="58" spans="2:14" ht="22.5" customHeight="1">
      <c r="B58" s="80"/>
      <c r="C58" s="328"/>
      <c r="D58" s="438"/>
      <c r="E58" s="438"/>
      <c r="F58" s="438"/>
      <c r="G58" s="438"/>
      <c r="H58" s="439"/>
      <c r="I58" s="440"/>
      <c r="J58" s="440"/>
      <c r="K58" s="634"/>
      <c r="L58" s="81"/>
      <c r="M58" s="650"/>
      <c r="N58" s="472"/>
    </row>
    <row r="59" spans="2:14" ht="40.5" customHeight="1">
      <c r="B59" s="20" t="str">
        <f>IF(Contents!$B$2=2,"SECURITY HOTLINE","ГОРЯЧАЯ ЛИНИЯ БЕЗОПАСНОСТИ")</f>
        <v>ГОРЯЧАЯ ЛИНИЯ БЕЗОПАСНОСТИ</v>
      </c>
      <c r="C59" s="15"/>
      <c r="D59" s="136"/>
      <c r="E59" s="136"/>
      <c r="F59" s="136"/>
      <c r="G59" s="136"/>
      <c r="H59" s="136"/>
      <c r="I59" s="136"/>
      <c r="J59" s="136"/>
      <c r="K59" s="620"/>
      <c r="L59" s="78"/>
      <c r="M59" s="648"/>
      <c r="N59" s="472"/>
    </row>
    <row r="60" spans="2:14" ht="22.5" customHeight="1">
      <c r="B60" s="39" t="str">
        <f>IF(Contents!$B$2=2,"Number of reports","Количество обращений")</f>
        <v>Количество обращений</v>
      </c>
      <c r="C60" s="98"/>
      <c r="D60" s="445"/>
      <c r="E60" s="445"/>
      <c r="F60" s="445"/>
      <c r="G60" s="445"/>
      <c r="H60" s="445"/>
      <c r="I60" s="445"/>
      <c r="J60" s="426"/>
      <c r="K60" s="616"/>
      <c r="L60" s="64" t="s">
        <v>43</v>
      </c>
      <c r="M60" s="646"/>
      <c r="N60" s="472"/>
    </row>
    <row r="61" spans="2:14" s="82" customFormat="1" ht="22.5" customHeight="1">
      <c r="B61" s="119" t="str">
        <f>IF(Contents!$B$2=2,"Security hotline","Горячая линия безопасности")</f>
        <v>Горячая линия безопасности</v>
      </c>
      <c r="C61" s="348" t="s">
        <v>6</v>
      </c>
      <c r="D61" s="428" t="s">
        <v>12</v>
      </c>
      <c r="E61" s="428" t="s">
        <v>12</v>
      </c>
      <c r="F61" s="428" t="s">
        <v>12</v>
      </c>
      <c r="G61" s="428" t="s">
        <v>12</v>
      </c>
      <c r="H61" s="428" t="s">
        <v>12</v>
      </c>
      <c r="I61" s="428" t="s">
        <v>13</v>
      </c>
      <c r="J61" s="446">
        <v>982</v>
      </c>
      <c r="K61" s="632"/>
      <c r="L61" s="69"/>
      <c r="M61" s="666" t="str">
        <f>IF(Contents!$B$2=2,"Yes","Да")</f>
        <v>Да</v>
      </c>
      <c r="N61" s="477"/>
    </row>
    <row r="62" spans="2:14" s="82" customFormat="1" ht="22.5" customHeight="1">
      <c r="B62" s="119" t="str">
        <f>IF(Contents!$B$2=2,"Ethics and human rights compliance","Соблюдение этики и прав человека")</f>
        <v>Соблюдение этики и прав человека</v>
      </c>
      <c r="C62" s="348" t="s">
        <v>6</v>
      </c>
      <c r="D62" s="428" t="s">
        <v>12</v>
      </c>
      <c r="E62" s="428" t="s">
        <v>12</v>
      </c>
      <c r="F62" s="428" t="s">
        <v>12</v>
      </c>
      <c r="G62" s="428" t="s">
        <v>12</v>
      </c>
      <c r="H62" s="428" t="s">
        <v>12</v>
      </c>
      <c r="I62" s="428" t="s">
        <v>12</v>
      </c>
      <c r="J62" s="447">
        <v>21</v>
      </c>
      <c r="K62" s="642"/>
      <c r="L62" s="69"/>
      <c r="M62" s="666" t="str">
        <f>IF(Contents!$B$2=2,"No","Нет")</f>
        <v>Нет</v>
      </c>
      <c r="N62" s="477"/>
    </row>
    <row r="63" spans="2:14" s="82" customFormat="1" ht="22.5" customHeight="1">
      <c r="B63" s="128" t="str">
        <f>IF(Contents!$B$2=2,"Confirmed","Подтверждено")</f>
        <v>Подтверждено</v>
      </c>
      <c r="C63" s="348" t="s">
        <v>6</v>
      </c>
      <c r="D63" s="428" t="s">
        <v>12</v>
      </c>
      <c r="E63" s="428" t="s">
        <v>12</v>
      </c>
      <c r="F63" s="428" t="s">
        <v>12</v>
      </c>
      <c r="G63" s="428" t="s">
        <v>12</v>
      </c>
      <c r="H63" s="428" t="s">
        <v>12</v>
      </c>
      <c r="I63" s="428" t="s">
        <v>12</v>
      </c>
      <c r="J63" s="447">
        <v>4</v>
      </c>
      <c r="K63" s="642"/>
      <c r="L63" s="69"/>
      <c r="M63" s="680" t="str">
        <f>IF(Contents!$B$2=2,"No","Нет")</f>
        <v>Нет</v>
      </c>
      <c r="N63" s="477"/>
    </row>
    <row r="64" spans="2:14" ht="12.75" customHeight="1">
      <c r="B64" s="80"/>
      <c r="C64" s="24"/>
      <c r="D64" s="86"/>
      <c r="E64" s="86"/>
      <c r="F64" s="86"/>
      <c r="G64" s="86"/>
      <c r="H64" s="86"/>
      <c r="L64" s="81"/>
      <c r="N64" s="472"/>
    </row>
    <row r="65" spans="2:14" s="91" customFormat="1" ht="15" customHeight="1">
      <c r="B65" s="326"/>
      <c r="C65" s="328"/>
      <c r="D65" s="86"/>
      <c r="E65" s="86"/>
      <c r="F65" s="86"/>
      <c r="G65" s="86"/>
      <c r="H65" s="86"/>
      <c r="I65" s="415"/>
      <c r="K65" s="613"/>
      <c r="L65" s="87"/>
      <c r="N65" s="478"/>
    </row>
    <row r="66" spans="3:14" ht="18.75">
      <c r="C66" s="24"/>
      <c r="D66" s="86"/>
      <c r="E66" s="86"/>
      <c r="F66" s="86"/>
      <c r="G66" s="86"/>
      <c r="H66" s="86"/>
      <c r="L66" s="89"/>
      <c r="N66" s="232"/>
    </row>
    <row r="67" spans="13:14" ht="12.75" customHeight="1">
      <c r="M67" s="82"/>
      <c r="N67" s="232"/>
    </row>
    <row r="68" spans="1:14" ht="18.75">
      <c r="A68" s="91"/>
      <c r="B68" s="486"/>
      <c r="C68" s="487"/>
      <c r="D68" s="485"/>
      <c r="E68" s="485"/>
      <c r="F68" s="485"/>
      <c r="G68" s="485"/>
      <c r="H68" s="485"/>
      <c r="I68" s="484"/>
      <c r="J68" s="485"/>
      <c r="K68" s="485"/>
      <c r="L68" s="488"/>
      <c r="M68" s="485"/>
      <c r="N68" s="232"/>
    </row>
    <row r="69" spans="1:14" ht="18.75">
      <c r="A69" s="91"/>
      <c r="B69" s="486"/>
      <c r="C69" s="487"/>
      <c r="D69" s="485"/>
      <c r="E69" s="485"/>
      <c r="F69" s="485"/>
      <c r="G69" s="485"/>
      <c r="H69" s="485"/>
      <c r="I69" s="484"/>
      <c r="J69" s="485"/>
      <c r="K69" s="485"/>
      <c r="L69" s="488"/>
      <c r="M69" s="485"/>
      <c r="N69" s="232"/>
    </row>
    <row r="70" spans="1:14" ht="18.75">
      <c r="A70" s="91"/>
      <c r="B70" s="486"/>
      <c r="C70" s="487"/>
      <c r="D70" s="485"/>
      <c r="E70" s="485"/>
      <c r="F70" s="485"/>
      <c r="G70" s="485"/>
      <c r="H70" s="485"/>
      <c r="I70" s="484"/>
      <c r="J70" s="485"/>
      <c r="K70" s="485"/>
      <c r="L70" s="488"/>
      <c r="M70" s="485"/>
      <c r="N70" s="232"/>
    </row>
    <row r="71" spans="1:14" ht="18.75">
      <c r="A71" s="91"/>
      <c r="B71" s="486"/>
      <c r="C71" s="487"/>
      <c r="D71" s="485"/>
      <c r="E71" s="485"/>
      <c r="F71" s="485"/>
      <c r="G71" s="485"/>
      <c r="H71" s="485"/>
      <c r="I71" s="484"/>
      <c r="J71" s="485"/>
      <c r="K71" s="485"/>
      <c r="L71" s="488"/>
      <c r="M71" s="485"/>
      <c r="N71" s="232"/>
    </row>
    <row r="72" spans="1:14" ht="18.75">
      <c r="A72" s="91"/>
      <c r="B72" s="92"/>
      <c r="C72" s="94"/>
      <c r="L72" s="93"/>
      <c r="N72" s="232"/>
    </row>
    <row r="73" spans="1:14" ht="18.75">
      <c r="A73" s="91"/>
      <c r="B73" s="92"/>
      <c r="C73" s="94"/>
      <c r="L73" s="93"/>
      <c r="N73" s="232"/>
    </row>
    <row r="74" spans="1:12" ht="18.75">
      <c r="A74" s="91"/>
      <c r="B74" s="91"/>
      <c r="C74" s="94"/>
      <c r="L74" s="95"/>
    </row>
    <row r="75" spans="1:12" ht="18.75">
      <c r="A75" s="91"/>
      <c r="B75" s="91"/>
      <c r="C75" s="94"/>
      <c r="L75" s="95"/>
    </row>
    <row r="76" ht="18.75">
      <c r="B76" s="91"/>
    </row>
    <row r="79" ht="18.75">
      <c r="B79" s="77" t="str">
        <f>IF(Contents!$B$2=2,"For 2021, the data is given as of the time of the election of the BoD - April 23, 2021.","За 2021 год данные приведены по состоянию на момент выбора СД - 23 апреля 2021 года. ")</f>
        <v>За 2021 год данные приведены по состоянию на момент выбора СД - 23 апреля 2021 года. </v>
      </c>
    </row>
    <row r="80" ht="18.75">
      <c r="B80" s="77" t="str">
        <f>IF(Contents!$B$2=2,"As of December 31, 2021, the number of members of the BoD was 8, two of which were independent, due to the early termination of the powers of an independent member of the BoD, Orlov V.P. due to his premature death.","На 31 декабря 2021 года количество членов СД составляло 8, двое из которых были независимыми, в связи с досрочным прекращением полномочий независимого члена СД Орлова В.П. в связи с его преждевременной кончиной.")</f>
        <v>На 31 декабря 2021 года количество членов СД составляло 8, двое из которых были независимыми, в связи с досрочным прекращением полномочий независимого члена СД Орлова В.П. в связи с его преждевременной кончиной.</v>
      </c>
    </row>
  </sheetData>
  <sheetProtection/>
  <hyperlinks>
    <hyperlink ref="B1" location="Contents!A1" display="← Back to Contents"/>
  </hyperlinks>
  <printOptions/>
  <pageMargins left="0.7" right="0.7" top="0.75" bottom="0.75" header="0.3" footer="0.3"/>
  <pageSetup horizontalDpi="600" verticalDpi="600" orientation="portrait" paperSize="9" scale="57" r:id="rId2"/>
  <rowBreaks count="1" manualBreakCount="1">
    <brk id="67" max="7" man="1"/>
  </rowBreaks>
  <drawing r:id="rId1"/>
</worksheet>
</file>

<file path=xl/worksheets/sheet5.xml><?xml version="1.0" encoding="utf-8"?>
<worksheet xmlns="http://schemas.openxmlformats.org/spreadsheetml/2006/main" xmlns:r="http://schemas.openxmlformats.org/officeDocument/2006/relationships">
  <sheetPr codeName="Sheet6">
    <tabColor theme="0" tint="-0.24997000396251678"/>
  </sheetPr>
  <dimension ref="A1:Q41"/>
  <sheetViews>
    <sheetView zoomScale="70" zoomScaleNormal="70" zoomScaleSheetLayoutView="90" zoomScalePageLayoutView="0" workbookViewId="0" topLeftCell="A1">
      <pane ySplit="3" topLeftCell="A4" activePane="bottomLeft" state="frozen"/>
      <selection pane="topLeft" activeCell="A1" sqref="A1"/>
      <selection pane="bottomLeft" activeCell="C27" sqref="C27"/>
    </sheetView>
  </sheetViews>
  <sheetFormatPr defaultColWidth="9.140625" defaultRowHeight="15"/>
  <cols>
    <col min="1" max="1" width="9.140625" style="17" customWidth="1"/>
    <col min="2" max="2" width="84.00390625" style="17" customWidth="1"/>
    <col min="3" max="3" width="20.7109375" style="449" customWidth="1"/>
    <col min="4" max="8" width="16.57421875" style="17" customWidth="1"/>
    <col min="9" max="9" width="16.57421875" style="19" customWidth="1"/>
    <col min="10" max="10" width="16.57421875" style="17" customWidth="1"/>
    <col min="11" max="11" width="5.140625" style="645" customWidth="1"/>
    <col min="12" max="12" width="20.7109375" style="90" customWidth="1"/>
    <col min="13" max="13" width="10.7109375" style="651" customWidth="1"/>
    <col min="14" max="14" width="9.140625" style="668" customWidth="1"/>
    <col min="15" max="15" width="115.28125" style="17" customWidth="1"/>
    <col min="16" max="16384" width="9.140625" style="17" customWidth="1"/>
  </cols>
  <sheetData>
    <row r="1" spans="1:13" ht="76.5" customHeight="1">
      <c r="A1" s="70"/>
      <c r="B1" s="42" t="s">
        <v>11</v>
      </c>
      <c r="L1" s="71"/>
      <c r="M1" s="647"/>
    </row>
    <row r="2" spans="1:13" ht="37.5" customHeight="1">
      <c r="A2" s="73"/>
      <c r="B2" s="691" t="str">
        <f>IF(Contents!$B$2=2,"Other","Прочее")</f>
        <v>Прочее</v>
      </c>
      <c r="C2" s="511"/>
      <c r="D2" s="512"/>
      <c r="E2" s="513"/>
      <c r="F2" s="514"/>
      <c r="G2" s="514"/>
      <c r="H2" s="514"/>
      <c r="I2" s="515"/>
      <c r="J2" s="516"/>
      <c r="K2" s="661"/>
      <c r="L2" s="644"/>
      <c r="M2" s="644"/>
    </row>
    <row r="3" spans="1:15" ht="51" customHeight="1">
      <c r="A3" s="73"/>
      <c r="B3" s="74"/>
      <c r="C3" s="450"/>
      <c r="D3" s="15" t="s">
        <v>4</v>
      </c>
      <c r="E3" s="15" t="s">
        <v>3</v>
      </c>
      <c r="F3" s="15" t="s">
        <v>1</v>
      </c>
      <c r="G3" s="15">
        <v>2018</v>
      </c>
      <c r="H3" s="15">
        <v>2019</v>
      </c>
      <c r="I3" s="15">
        <v>2020</v>
      </c>
      <c r="J3" s="16">
        <v>2021</v>
      </c>
      <c r="K3" s="654"/>
      <c r="L3" s="197" t="str">
        <f>IF(Contents!$B$2=2,"Standards' indices","Индексы Стандартов")</f>
        <v>Индексы Стандартов</v>
      </c>
      <c r="M3" s="660" t="str">
        <f>IF(Contents!$B$2=2,"Subject to external assurance","Внешний аудит")</f>
        <v>Внешний аудит</v>
      </c>
      <c r="O3" s="197" t="str">
        <f>IF(Contents!$B$2=2,"Notes","Примечания")</f>
        <v>Примечания</v>
      </c>
    </row>
    <row r="4" spans="1:13" ht="12.75" customHeight="1">
      <c r="A4" s="73"/>
      <c r="B4" s="21"/>
      <c r="C4" s="451"/>
      <c r="D4" s="75"/>
      <c r="E4" s="75"/>
      <c r="F4" s="75"/>
      <c r="G4" s="75"/>
      <c r="H4" s="75"/>
      <c r="I4" s="75"/>
      <c r="J4" s="110"/>
      <c r="K4" s="654"/>
      <c r="L4" s="79"/>
      <c r="M4" s="649"/>
    </row>
    <row r="5" ht="24.75" customHeight="1">
      <c r="A5" s="73"/>
    </row>
    <row r="6" spans="1:13" ht="12.75" customHeight="1">
      <c r="A6" s="73"/>
      <c r="B6" s="75"/>
      <c r="C6" s="451"/>
      <c r="D6" s="75"/>
      <c r="E6" s="75"/>
      <c r="F6" s="75"/>
      <c r="G6" s="75"/>
      <c r="H6" s="75"/>
      <c r="I6" s="99"/>
      <c r="J6" s="100"/>
      <c r="K6" s="653"/>
      <c r="L6" s="116"/>
      <c r="M6" s="657"/>
    </row>
    <row r="7" spans="2:15" ht="40.5" customHeight="1">
      <c r="B7" s="20" t="str">
        <f>IF(Contents!$B$2=2,"DIRECT ECONOMIC VALUE GENERATED AND DISTRIBUTED","СОЗДАННАЯ И РАСПРЕДЕЛЕННАЯ ПРЯМАЯ ЭКОНОМИЧЕСКАЯ СТОИМОСТЬ")</f>
        <v>СОЗДАННАЯ И РАСПРЕДЕЛЕННАЯ ПРЯМАЯ ЭКОНОМИЧЕСКАЯ СТОИМОСТЬ</v>
      </c>
      <c r="C7" s="450"/>
      <c r="D7" s="15"/>
      <c r="E7" s="15"/>
      <c r="F7" s="15"/>
      <c r="G7" s="15"/>
      <c r="H7" s="15"/>
      <c r="I7" s="51"/>
      <c r="J7" s="51"/>
      <c r="K7" s="643"/>
      <c r="L7" s="115"/>
      <c r="M7" s="673"/>
      <c r="O7" s="468" t="str">
        <f>IF(Contents!$B$2=2,"Calculations use data from NOVATEK’s IFRS consolidated financial statements and the following methodology:","При расчетах использовались данные консолидированной отчетности по МСФО ПАО «НОВАТЭК», применялась следующая методология:")</f>
        <v>При расчетах использовались данные консолидированной отчетности по МСФО ПАО «НОВАТЭК», применялась следующая методология:</v>
      </c>
    </row>
    <row r="8" spans="2:13" ht="22.5" customHeight="1">
      <c r="B8" s="22" t="str">
        <f>IF(Contents!$B$2=2,"Generated economic value","Созданная экономическая стоимость")</f>
        <v>Созданная экономическая стоимость</v>
      </c>
      <c r="C8" s="452"/>
      <c r="D8" s="114"/>
      <c r="E8" s="36"/>
      <c r="F8" s="36"/>
      <c r="G8" s="36"/>
      <c r="H8" s="36"/>
      <c r="I8" s="65"/>
      <c r="J8" s="36"/>
      <c r="L8" s="117" t="s">
        <v>40</v>
      </c>
      <c r="M8" s="674"/>
    </row>
    <row r="9" spans="2:15" ht="22.5" customHeight="1">
      <c r="B9" s="80" t="str">
        <f>IF(Contents!$B$2=2,"Income","Доходы")</f>
        <v>Доходы</v>
      </c>
      <c r="C9" s="348" t="str">
        <f>IF(Contents!$B$2=2,"RR mln","млн руб.")</f>
        <v>млн руб.</v>
      </c>
      <c r="D9" s="170">
        <v>487947</v>
      </c>
      <c r="E9" s="170">
        <v>556204</v>
      </c>
      <c r="F9" s="170">
        <v>599058</v>
      </c>
      <c r="G9" s="170">
        <v>845761</v>
      </c>
      <c r="H9" s="170">
        <v>883502</v>
      </c>
      <c r="I9" s="374">
        <v>737252</v>
      </c>
      <c r="J9" s="375">
        <v>1172724</v>
      </c>
      <c r="K9" s="664"/>
      <c r="L9" s="118"/>
      <c r="M9" s="680" t="str">
        <f>IF(Contents!$B$2=2,"Yes","Да")</f>
        <v>Да</v>
      </c>
      <c r="O9" s="468" t="str">
        <f>IF(Contents!$B$2=2,"Income – Revenues plus Interest Income.","Доходы - сумма статей «Выручка от реализации» и «Доходы в виде процентов»")</f>
        <v>Доходы - сумма статей «Выручка от реализации» и «Доходы в виде процентов»</v>
      </c>
    </row>
    <row r="10" spans="2:15" ht="22.5" customHeight="1">
      <c r="B10" s="22" t="str">
        <f>IF(Contents!$B$2=2,"Distributed economic value","Распределенная экономическая стоимость")</f>
        <v>Распределенная экономическая стоимость</v>
      </c>
      <c r="C10" s="455"/>
      <c r="D10" s="168"/>
      <c r="E10" s="168"/>
      <c r="F10" s="168"/>
      <c r="G10" s="168"/>
      <c r="H10" s="168"/>
      <c r="I10" s="339"/>
      <c r="J10" s="380"/>
      <c r="K10" s="664"/>
      <c r="L10" s="117" t="s">
        <v>40</v>
      </c>
      <c r="M10" s="674"/>
      <c r="O10" s="469"/>
    </row>
    <row r="11" spans="2:15" ht="22.5" customHeight="1">
      <c r="B11" s="80" t="str">
        <f>IF(Contents!$B$2=2,"Operating costs","Операционные затраты")</f>
        <v>Операционные затраты</v>
      </c>
      <c r="C11" s="348" t="str">
        <f>IF(Contents!$B$2=2,"RR mln","млн руб.")</f>
        <v>млн руб.</v>
      </c>
      <c r="D11" s="170">
        <v>262268</v>
      </c>
      <c r="E11" s="170">
        <v>284881</v>
      </c>
      <c r="F11" s="170">
        <v>312880</v>
      </c>
      <c r="G11" s="170">
        <v>484094</v>
      </c>
      <c r="H11" s="170">
        <v>514922</v>
      </c>
      <c r="I11" s="374">
        <v>422065</v>
      </c>
      <c r="J11" s="375">
        <v>682238</v>
      </c>
      <c r="K11" s="664"/>
      <c r="L11" s="118"/>
      <c r="M11" s="680" t="str">
        <f>IF(Contents!$B$2=2,"Yes","Да")</f>
        <v>Да</v>
      </c>
      <c r="O11" s="468" t="str">
        <f>IF(Contents!$B$2=2,"Operating Costs – Operating Expenses less Depreciation, Depletion and Amortization, less Impairment Expenses, less Employee Compensation, less Taxes Other Than Income Tax, and less Social Expenses and Compensatory Payments.","операционные затраты — «Операционные расходы» минус «Амортизация», минус «Расходы по обесценению активов», минус  «Вознаграждения работникам», минус «Налоги, кроме налога на прибыль», минус «Расходы социального характера и компенсационные выплаты»")</f>
        <v>операционные затраты — «Операционные расходы» минус «Амортизация», минус «Расходы по обесценению активов», минус  «Вознаграждения работникам», минус «Налоги, кроме налога на прибыль», минус «Расходы социального характера и компенсационные выплаты»</v>
      </c>
    </row>
    <row r="12" spans="2:15" ht="22.5" customHeight="1">
      <c r="B12" s="80" t="str">
        <f>IF(Contents!$B$2=2,"Salaries and other payments and benefits to employees","Заработная плата и другие выплаты и льготы работникам")</f>
        <v>Заработная плата и другие выплаты и льготы работникам</v>
      </c>
      <c r="C12" s="454" t="str">
        <f>IF(Contents!$B$2=2,"RR mln","млн руб.")</f>
        <v>млн руб.</v>
      </c>
      <c r="D12" s="170">
        <v>15368</v>
      </c>
      <c r="E12" s="170">
        <v>19885</v>
      </c>
      <c r="F12" s="170">
        <v>20097</v>
      </c>
      <c r="G12" s="170">
        <v>25622</v>
      </c>
      <c r="H12" s="170">
        <v>29178</v>
      </c>
      <c r="I12" s="374">
        <v>31876</v>
      </c>
      <c r="J12" s="375">
        <v>43155</v>
      </c>
      <c r="K12" s="664"/>
      <c r="L12" s="118"/>
      <c r="M12" s="680" t="str">
        <f>IF(Contents!$B$2=2,"Yes","Да")</f>
        <v>Да</v>
      </c>
      <c r="O12" s="470" t="str">
        <f>IF(Contents!$B$2=2,"Salaries and other payments and benefits to employees are calculated as employee compensation (as part of general and administrative expenses &amp; materials, services and others according to IFRS consolidated financial statements).","Заработная плата и другие выплаты и льготы сотрудникам рассчитываются как вознаграждение работникам (как часть общих и административных расходов, материалов, услуг и прочего в соответствии с консолидированной финансовой отчетностью по МСФО).")</f>
        <v>Заработная плата и другие выплаты и льготы сотрудникам рассчитываются как вознаграждение работникам (как часть общих и административных расходов, материалов, услуг и прочего в соответствии с консолидированной финансовой отчетностью по МСФО).</v>
      </c>
    </row>
    <row r="13" spans="2:15" ht="22.5" customHeight="1">
      <c r="B13" s="80" t="str">
        <f>IF(Contents!$B$2=2,"Payments to providers of capital","Выплаты поставщикам финансовых средств")</f>
        <v>Выплаты поставщикам финансовых средств</v>
      </c>
      <c r="C13" s="454" t="str">
        <f>IF(Contents!$B$2=2,"RR mln","млн руб.")</f>
        <v>млн руб.</v>
      </c>
      <c r="D13" s="170">
        <v>50189</v>
      </c>
      <c r="E13" s="170">
        <v>57950</v>
      </c>
      <c r="F13" s="170">
        <v>52310</v>
      </c>
      <c r="G13" s="170">
        <v>60682</v>
      </c>
      <c r="H13" s="170">
        <v>102580</v>
      </c>
      <c r="I13" s="374">
        <v>99908</v>
      </c>
      <c r="J13" s="375">
        <v>166143</v>
      </c>
      <c r="K13" s="664"/>
      <c r="L13" s="118"/>
      <c r="M13" s="680" t="str">
        <f>IF(Contents!$B$2=2,"Yes","Да")</f>
        <v>Да</v>
      </c>
      <c r="O13" s="470" t="str">
        <f>IF(Contents!$B$2=2,"Payments to providers of capital – Dividends Paid plus Interest on Debt Paid.","выплаты поставщикам финансовых средств — сумма статей «Начисленные дивиденды» и «Проценты, выплачиваемые кредиторам».")</f>
        <v>выплаты поставщикам финансовых средств — сумма статей «Начисленные дивиденды» и «Проценты, выплачиваемые кредиторам».</v>
      </c>
    </row>
    <row r="14" spans="2:15" ht="22.5" customHeight="1">
      <c r="B14" s="80" t="str">
        <f>IF(Contents!$B$2=2,"Payments to governments","Налоги к перечислению в бюджеты государств")</f>
        <v>Налоги к перечислению в бюджеты государств</v>
      </c>
      <c r="C14" s="454" t="str">
        <f>IF(Contents!$B$2=2,"RR mln","млн руб.")</f>
        <v>млн руб.</v>
      </c>
      <c r="D14" s="170">
        <v>59410</v>
      </c>
      <c r="E14" s="170">
        <v>79630</v>
      </c>
      <c r="F14" s="170">
        <v>84721</v>
      </c>
      <c r="G14" s="170">
        <v>103311</v>
      </c>
      <c r="H14" s="170">
        <v>159813</v>
      </c>
      <c r="I14" s="374">
        <v>106517</v>
      </c>
      <c r="J14" s="375">
        <v>133237</v>
      </c>
      <c r="K14" s="664"/>
      <c r="L14" s="118"/>
      <c r="M14" s="680" t="str">
        <f>IF(Contents!$B$2=2,"Yes","Да")</f>
        <v>Да</v>
      </c>
      <c r="O14" s="470" t="str">
        <f>IF(Contents!$B$2=2,"Taxes payable to the budgets of relevant countries are calculated as current income tax plus taxes other than income tax.","Налоги к перечислению в бюджеты государств - сумма статей «Расходы по текущему налогу на прибыль» и «Налоги, кроме налога на прибыль»")</f>
        <v>Налоги к перечислению в бюджеты государств - сумма статей «Расходы по текущему налогу на прибыль» и «Налоги, кроме налога на прибыль»</v>
      </c>
    </row>
    <row r="15" spans="2:15" ht="22.5" customHeight="1">
      <c r="B15" s="80" t="str">
        <f>IF(Contents!$B$2=2,"Community investments","Социальные инвестиции")</f>
        <v>Социальные инвестиции</v>
      </c>
      <c r="C15" s="454" t="str">
        <f>IF(Contents!$B$2=2,"RR mln","млн руб.")</f>
        <v>млн руб.</v>
      </c>
      <c r="D15" s="170">
        <v>1000</v>
      </c>
      <c r="E15" s="170">
        <v>1871</v>
      </c>
      <c r="F15" s="170">
        <v>2813</v>
      </c>
      <c r="G15" s="170">
        <v>2047</v>
      </c>
      <c r="H15" s="170">
        <v>1990</v>
      </c>
      <c r="I15" s="374">
        <v>4128</v>
      </c>
      <c r="J15" s="375">
        <v>2753</v>
      </c>
      <c r="K15" s="664"/>
      <c r="L15" s="118"/>
      <c r="M15" s="680" t="str">
        <f>IF(Contents!$B$2=2,"Yes","Да")</f>
        <v>Да</v>
      </c>
      <c r="O15" s="471" t="str">
        <f>IF(Contents!$B$2=2,"Community investments – Social Expenses and Compensatory Payments Include charity expenses, sponsorships, and support for local communities, and are not directly related to the Company’s operations and its employees.","Cоциальные инвестиции — статья «Расходы социального характера и компенсационные выплаты». Включают расходы на благотворительность, спонсорство, поддержку местных сообществ и не связаны непосредственно с деятельностью Компании и ее работниками.")</f>
        <v>Cоциальные инвестиции — статья «Расходы социального характера и компенсационные выплаты». Включают расходы на благотворительность, спонсорство, поддержку местных сообществ и не связаны непосредственно с деятельностью Компании и ее работниками.</v>
      </c>
    </row>
    <row r="16" spans="2:15" ht="22.5" customHeight="1">
      <c r="B16" s="80" t="str">
        <f>IF(Contents!$B$2=2,"Retained economic value","Нераспределенная экономическая стоимость")</f>
        <v>Нераспределенная экономическая стоимость</v>
      </c>
      <c r="C16" s="454" t="str">
        <f>IF(Contents!$B$2=2,"RR mln","млн руб.")</f>
        <v>млн руб.</v>
      </c>
      <c r="D16" s="170">
        <v>99712</v>
      </c>
      <c r="E16" s="170">
        <v>111987</v>
      </c>
      <c r="F16" s="170">
        <v>126237</v>
      </c>
      <c r="G16" s="170">
        <v>170005</v>
      </c>
      <c r="H16" s="170">
        <v>75019</v>
      </c>
      <c r="I16" s="374">
        <v>72758</v>
      </c>
      <c r="J16" s="375">
        <v>145198</v>
      </c>
      <c r="K16" s="664"/>
      <c r="L16" s="118"/>
      <c r="M16" s="680" t="str">
        <f>IF(Contents!$B$2=2,"Yes","Да")</f>
        <v>Да</v>
      </c>
      <c r="O16" s="471" t="str">
        <f>IF(Contents!$B$2=2,"Retained economic value is calculated as direct economic value generated less economic value distributed.","Сохраненная экономическая ценность рассчитывается как прямая полученная экономическая ценность за вычетом распределенной экономической ценности.")</f>
        <v>Сохраненная экономическая ценность рассчитывается как прямая полученная экономическая ценность за вычетом распределенной экономической ценности.</v>
      </c>
    </row>
    <row r="17" spans="2:15" ht="22.5" customHeight="1">
      <c r="B17" s="80"/>
      <c r="C17" s="454"/>
      <c r="D17" s="170"/>
      <c r="E17" s="170"/>
      <c r="F17" s="170"/>
      <c r="G17" s="170"/>
      <c r="H17" s="170"/>
      <c r="I17" s="374"/>
      <c r="J17" s="375"/>
      <c r="K17" s="664"/>
      <c r="L17" s="118"/>
      <c r="M17" s="675"/>
      <c r="O17" s="232"/>
    </row>
    <row r="18" spans="2:15" ht="40.5" customHeight="1">
      <c r="B18" s="20" t="str">
        <f>IF(Contents!$B$2=2,"PROCUREMENT PRACTICES","ПРАКТИКА ЗАКУПОК")</f>
        <v>ПРАКТИКА ЗАКУПОК</v>
      </c>
      <c r="C18" s="456"/>
      <c r="D18" s="136"/>
      <c r="E18" s="136"/>
      <c r="F18" s="136"/>
      <c r="G18" s="136"/>
      <c r="H18" s="136"/>
      <c r="I18" s="335"/>
      <c r="J18" s="335"/>
      <c r="K18" s="663"/>
      <c r="L18" s="115"/>
      <c r="M18" s="673"/>
      <c r="O18" s="232"/>
    </row>
    <row r="19" spans="2:13" ht="22.5" customHeight="1">
      <c r="B19" s="39" t="str">
        <f>IF(Contents!$B$2=2,"Total of procured goods and services","Всего закупленных товаров и услуг")</f>
        <v>Всего закупленных товаров и услуг</v>
      </c>
      <c r="C19" s="455" t="str">
        <f>IF(Contents!$B$2=2,"RR mln","млн руб.")</f>
        <v>млн руб.</v>
      </c>
      <c r="D19" s="172" t="s">
        <v>12</v>
      </c>
      <c r="E19" s="172" t="s">
        <v>12</v>
      </c>
      <c r="F19" s="168">
        <v>705788</v>
      </c>
      <c r="G19" s="168">
        <v>1028933</v>
      </c>
      <c r="H19" s="168">
        <v>651224</v>
      </c>
      <c r="I19" s="380">
        <v>706695</v>
      </c>
      <c r="J19" s="380">
        <v>782403</v>
      </c>
      <c r="K19" s="664"/>
      <c r="L19" s="117" t="s">
        <v>39</v>
      </c>
      <c r="M19" s="681" t="str">
        <f>IF(Contents!$B$2=2,"No","Нет")</f>
        <v>Нет</v>
      </c>
    </row>
    <row r="20" spans="2:13" ht="22.5" customHeight="1">
      <c r="B20" s="29"/>
      <c r="C20" s="454"/>
      <c r="D20" s="459"/>
      <c r="E20" s="459"/>
      <c r="F20" s="459"/>
      <c r="G20" s="459"/>
      <c r="H20" s="459"/>
      <c r="I20" s="139"/>
      <c r="J20" s="138"/>
      <c r="K20" s="658"/>
      <c r="L20" s="68"/>
      <c r="M20" s="671"/>
    </row>
    <row r="21" spans="2:17" ht="40.5" customHeight="1">
      <c r="B21" s="20" t="str">
        <f>IF(Contents!$B$2=2,"FINANCIAL INDICATORS","ФИНАНСОВЫЕ ПОКАЗАТЕЛИ")</f>
        <v>ФИНАНСОВЫЕ ПОКАЗАТЕЛИ</v>
      </c>
      <c r="C21" s="457"/>
      <c r="D21" s="140"/>
      <c r="E21" s="140"/>
      <c r="F21" s="140"/>
      <c r="G21" s="141"/>
      <c r="H21" s="260"/>
      <c r="I21" s="199"/>
      <c r="J21" s="199"/>
      <c r="K21" s="662"/>
      <c r="L21" s="51"/>
      <c r="M21" s="670"/>
      <c r="N21" s="524"/>
      <c r="O21" s="23"/>
      <c r="P21" s="23"/>
      <c r="Q21" s="23"/>
    </row>
    <row r="22" spans="2:14" ht="22.5" customHeight="1">
      <c r="B22" s="124" t="str">
        <f>IF(Contents!$B$2=2,"Total revenues","Общая прибыль")</f>
        <v>Общая прибыль</v>
      </c>
      <c r="C22" s="454" t="str">
        <f>IF(Contents!$B$2=2,"RR mln","млн руб.")</f>
        <v>млн руб.</v>
      </c>
      <c r="D22" s="138"/>
      <c r="E22" s="138"/>
      <c r="F22" s="148">
        <v>583186</v>
      </c>
      <c r="G22" s="148">
        <v>831758</v>
      </c>
      <c r="H22" s="148">
        <v>862803</v>
      </c>
      <c r="I22" s="148">
        <v>711812</v>
      </c>
      <c r="J22" s="156">
        <v>1156724</v>
      </c>
      <c r="K22" s="588"/>
      <c r="L22" s="198"/>
      <c r="M22" s="680" t="str">
        <f>IF(Contents!$B$2=2,"No","Нет")</f>
        <v>Нет</v>
      </c>
      <c r="N22" s="676"/>
    </row>
    <row r="23" spans="2:14" ht="22.5" customHeight="1">
      <c r="B23" s="124" t="str">
        <f>IF(Contents!$B$2=2,"Total revenues","Общая прибыль в долл. США")</f>
        <v>Общая прибыль в долл. США</v>
      </c>
      <c r="C23" s="458" t="str">
        <f>IF(Contents!$B$2=2,"USD mln","млн долл. США")</f>
        <v>млн долл. США</v>
      </c>
      <c r="D23" s="138"/>
      <c r="E23" s="138"/>
      <c r="F23" s="148">
        <v>9994.1</v>
      </c>
      <c r="G23" s="148">
        <v>13264</v>
      </c>
      <c r="H23" s="148">
        <v>13327.2</v>
      </c>
      <c r="I23" s="148">
        <v>9865.7</v>
      </c>
      <c r="J23" s="156">
        <v>15705.7</v>
      </c>
      <c r="K23" s="588"/>
      <c r="L23" s="198"/>
      <c r="M23" s="680" t="str">
        <f>IF(Contents!$B$2=2,"No","Нет")</f>
        <v>Нет</v>
      </c>
      <c r="N23" s="676"/>
    </row>
    <row r="24" spans="2:14" ht="22.5" customHeight="1">
      <c r="B24" s="124" t="str">
        <f>IF(Contents!$B$2=2,"USD/RUB ","Долл. США/руб.")</f>
        <v>Долл. США/руб.</v>
      </c>
      <c r="C24" s="458" t="str">
        <f>IF(Contents!$B$2=2,"average for the period","среднее значение за период")</f>
        <v>среднее значение за период</v>
      </c>
      <c r="D24" s="138"/>
      <c r="E24" s="138"/>
      <c r="F24" s="148">
        <v>58.352940000000025</v>
      </c>
      <c r="G24" s="148">
        <v>62.707771506849284</v>
      </c>
      <c r="H24" s="148">
        <v>64.74</v>
      </c>
      <c r="I24" s="148">
        <v>72.15</v>
      </c>
      <c r="J24" s="156">
        <v>73.65</v>
      </c>
      <c r="K24" s="588"/>
      <c r="L24" s="198"/>
      <c r="M24" s="680" t="str">
        <f>IF(Contents!$B$2=2,"No","Нет")</f>
        <v>Нет</v>
      </c>
      <c r="N24" s="235"/>
    </row>
    <row r="25" spans="2:14" ht="22.5" customHeight="1">
      <c r="B25" s="124" t="str">
        <f>IF(Contents!$B$2=2,"Total natural gas sales volumes","Общий объем реализации природного газа")</f>
        <v>Общий объем реализации природного газа</v>
      </c>
      <c r="C25" s="221" t="str">
        <f>IF(Contents!$B$2=2,"billion cm","млрд куб. м")</f>
        <v>млрд куб. м</v>
      </c>
      <c r="D25" s="138"/>
      <c r="E25" s="138"/>
      <c r="F25" s="181">
        <v>65.004</v>
      </c>
      <c r="G25" s="181">
        <v>72.134</v>
      </c>
      <c r="H25" s="181">
        <v>78.452</v>
      </c>
      <c r="I25" s="182">
        <v>75.62</v>
      </c>
      <c r="J25" s="183">
        <v>75.817</v>
      </c>
      <c r="K25" s="659"/>
      <c r="L25" s="200"/>
      <c r="M25" s="680" t="str">
        <f>IF(Contents!$B$2=2,"No","Нет")</f>
        <v>Нет</v>
      </c>
      <c r="N25" s="676"/>
    </row>
    <row r="26" spans="4:11" ht="18.75">
      <c r="D26" s="138"/>
      <c r="E26" s="138"/>
      <c r="F26" s="138"/>
      <c r="G26" s="138"/>
      <c r="H26" s="138"/>
      <c r="I26" s="139"/>
      <c r="J26" s="138"/>
      <c r="K26" s="658"/>
    </row>
    <row r="27" spans="3:13" ht="22.5" customHeight="1">
      <c r="C27" s="232"/>
      <c r="I27" s="17"/>
      <c r="L27" s="17"/>
      <c r="M27" s="645"/>
    </row>
    <row r="28" spans="2:13" ht="60" customHeight="1">
      <c r="B28" s="326"/>
      <c r="C28" s="453"/>
      <c r="L28" s="672"/>
      <c r="M28" s="672"/>
    </row>
    <row r="29" spans="3:13" ht="39.75" customHeight="1">
      <c r="C29" s="453"/>
      <c r="L29" s="111"/>
      <c r="M29" s="655"/>
    </row>
    <row r="30" spans="3:13" ht="12.75" customHeight="1">
      <c r="C30" s="453"/>
      <c r="L30" s="111"/>
      <c r="M30" s="655"/>
    </row>
    <row r="31" spans="3:13" ht="18.75">
      <c r="C31" s="453"/>
      <c r="L31" s="111"/>
      <c r="M31" s="655"/>
    </row>
    <row r="32" spans="3:13" ht="18.75">
      <c r="C32" s="453"/>
      <c r="L32" s="111"/>
      <c r="M32" s="655"/>
    </row>
    <row r="33" spans="3:13" ht="18.75">
      <c r="C33" s="453"/>
      <c r="L33" s="111"/>
      <c r="M33" s="655"/>
    </row>
    <row r="34" spans="3:13" ht="18.75">
      <c r="C34" s="453"/>
      <c r="L34" s="111"/>
      <c r="M34" s="655"/>
    </row>
    <row r="35" spans="3:13" ht="18.75">
      <c r="C35" s="453"/>
      <c r="L35" s="111"/>
      <c r="M35" s="655"/>
    </row>
    <row r="36" spans="3:13" ht="18.75">
      <c r="C36" s="453"/>
      <c r="L36" s="112"/>
      <c r="M36" s="656"/>
    </row>
    <row r="37" spans="3:13" ht="18.75">
      <c r="C37" s="453"/>
      <c r="L37" s="112"/>
      <c r="M37" s="656"/>
    </row>
    <row r="38" ht="18.75">
      <c r="C38" s="453"/>
    </row>
    <row r="39" spans="3:13" ht="18.75">
      <c r="C39" s="232"/>
      <c r="I39" s="17"/>
      <c r="L39" s="17"/>
      <c r="M39" s="645"/>
    </row>
    <row r="40" spans="3:13" ht="18.75">
      <c r="C40" s="232"/>
      <c r="I40" s="17"/>
      <c r="L40" s="17"/>
      <c r="M40" s="645"/>
    </row>
    <row r="41" spans="3:13" ht="18.75">
      <c r="C41" s="232"/>
      <c r="I41" s="17"/>
      <c r="L41" s="17"/>
      <c r="M41" s="645"/>
    </row>
  </sheetData>
  <sheetProtection/>
  <hyperlinks>
    <hyperlink ref="B1" location="Contents!A1" display="← Back to Contents"/>
  </hyperlinks>
  <printOptions/>
  <pageMargins left="0.7" right="0.7" top="0.75" bottom="0.75" header="0.3" footer="0.3"/>
  <pageSetup horizontalDpi="600" verticalDpi="600" orientation="portrait" paperSize="9" scale="47" r:id="rId2"/>
  <ignoredErrors>
    <ignoredError sqref="D3:F3 E10:H10 D10" numberStoredAsText="1"/>
  </ignoredErrors>
  <drawing r:id="rId1"/>
</worksheet>
</file>

<file path=xl/worksheets/sheet6.xml><?xml version="1.0" encoding="utf-8"?>
<worksheet xmlns="http://schemas.openxmlformats.org/spreadsheetml/2006/main" xmlns:r="http://schemas.openxmlformats.org/officeDocument/2006/relationships">
  <sheetPr codeName="Sheet2">
    <tabColor theme="2"/>
  </sheetPr>
  <dimension ref="B1:K55"/>
  <sheetViews>
    <sheetView zoomScale="70" zoomScaleNormal="70" zoomScalePageLayoutView="0" workbookViewId="0" topLeftCell="A1">
      <pane ySplit="3" topLeftCell="A4" activePane="bottomLeft" state="frozen"/>
      <selection pane="topLeft" activeCell="A1" sqref="A1"/>
      <selection pane="bottomLeft" activeCell="G14" sqref="G14"/>
    </sheetView>
  </sheetViews>
  <sheetFormatPr defaultColWidth="9.140625" defaultRowHeight="15"/>
  <cols>
    <col min="1" max="1" width="9.140625" style="1" customWidth="1"/>
    <col min="2" max="2" width="122.421875" style="17" customWidth="1"/>
    <col min="3" max="3" width="9.140625" style="1" customWidth="1"/>
    <col min="4" max="5" width="9.140625" style="483" customWidth="1"/>
    <col min="6" max="6" width="9.140625" style="1" customWidth="1"/>
    <col min="7" max="7" width="84.28125" style="1" customWidth="1"/>
    <col min="8" max="16384" width="9.140625" style="1" customWidth="1"/>
  </cols>
  <sheetData>
    <row r="1" ht="76.5" customHeight="1">
      <c r="B1" s="108" t="s">
        <v>11</v>
      </c>
    </row>
    <row r="2" spans="2:11" ht="37.5" customHeight="1">
      <c r="B2" s="692" t="str">
        <f>IF(Contents!$B$2=2,"Corporate documents","Корпоративные документы")</f>
        <v>Корпоративные документы</v>
      </c>
      <c r="C2" s="502"/>
      <c r="D2" s="503"/>
      <c r="E2" s="504"/>
      <c r="F2" s="292"/>
      <c r="G2" s="292"/>
      <c r="H2" s="292"/>
      <c r="I2" s="196"/>
      <c r="J2" s="231"/>
      <c r="K2" s="9"/>
    </row>
    <row r="3" spans="2:7" ht="51" customHeight="1">
      <c r="B3" s="14"/>
      <c r="C3" s="14"/>
      <c r="D3" s="14"/>
      <c r="E3" s="14"/>
      <c r="G3" s="5"/>
    </row>
    <row r="4" spans="2:7" ht="12.75" customHeight="1">
      <c r="B4" s="109" t="s">
        <v>14</v>
      </c>
      <c r="G4" s="5"/>
    </row>
    <row r="5" spans="2:7" ht="12.75" customHeight="1">
      <c r="B5" s="31"/>
      <c r="G5" s="6"/>
    </row>
    <row r="6" spans="2:7" ht="34.5" customHeight="1">
      <c r="B6" s="686" t="str">
        <f>IF(Contents!$B$2=2,"REPORTING","ОТЧЕТНОСТЬ")</f>
        <v>ОТЧЕТНОСТЬ</v>
      </c>
      <c r="C6" s="686"/>
      <c r="D6" s="686"/>
      <c r="E6" s="686"/>
      <c r="G6" s="7"/>
    </row>
    <row r="7" spans="2:5" ht="18">
      <c r="B7" s="48" t="str">
        <f>IF(Contents!$B$2=2,"Sustainability Report 2021","Отчет об устойчивом развитии за 2021 год")</f>
        <v>Отчет об устойчивом развитии за 2021 год</v>
      </c>
      <c r="D7" s="489" t="s">
        <v>76</v>
      </c>
      <c r="E7" s="489" t="s">
        <v>77</v>
      </c>
    </row>
    <row r="8" spans="2:7" ht="19.5" customHeight="1">
      <c r="B8" s="48" t="str">
        <f>IF(Contents!$B$2=2,"Annual Review 2021","Годовой обзор за 2021 год")</f>
        <v>Годовой обзор за 2021 год</v>
      </c>
      <c r="D8" s="489" t="s">
        <v>76</v>
      </c>
      <c r="E8" s="489" t="s">
        <v>77</v>
      </c>
      <c r="G8" s="8"/>
    </row>
    <row r="9" spans="2:7" ht="19.5" customHeight="1">
      <c r="B9" s="48" t="str">
        <f>IF(Contents!$B$2=2,"NOVATEK's Databook","Справочник ПАО «НОВАТЭК»")</f>
        <v>Справочник ПАО «НОВАТЭК»</v>
      </c>
      <c r="C9" s="485"/>
      <c r="D9" s="489" t="s">
        <v>76</v>
      </c>
      <c r="E9" s="489" t="s">
        <v>77</v>
      </c>
      <c r="G9" s="4"/>
    </row>
    <row r="10" spans="2:7" ht="19.5" customHeight="1">
      <c r="B10" s="48" t="str">
        <f>IF(Contents!$B$2=2,"Annual Reviews Archive","Архив Годовых обзоров")</f>
        <v>Архив Годовых обзоров</v>
      </c>
      <c r="D10" s="489" t="s">
        <v>76</v>
      </c>
      <c r="E10" s="489" t="s">
        <v>77</v>
      </c>
      <c r="G10" s="6"/>
    </row>
    <row r="11" spans="2:7" ht="19.5" customHeight="1">
      <c r="B11" s="48" t="str">
        <f>IF(Contents!$B$2=2,"Sustainability Reports Archive","Архив Отчетов об устойчивом развитии")</f>
        <v>Архив Отчетов об устойчивом развитии</v>
      </c>
      <c r="D11" s="489" t="s">
        <v>76</v>
      </c>
      <c r="E11" s="489" t="s">
        <v>77</v>
      </c>
      <c r="G11" s="4"/>
    </row>
    <row r="12" ht="12.75" customHeight="1">
      <c r="G12" s="4"/>
    </row>
    <row r="13" spans="2:7" ht="34.5" customHeight="1">
      <c r="B13" s="495" t="str">
        <f>IF(Contents!$B$2=2,"Climate, Environment","Климат и Экология")</f>
        <v>Климат и Экология</v>
      </c>
      <c r="C13" s="495"/>
      <c r="D13" s="495"/>
      <c r="E13" s="495"/>
      <c r="G13" s="4"/>
    </row>
    <row r="14" spans="2:5" ht="19.5" customHeight="1">
      <c r="B14" s="48" t="str">
        <f>IF(Contents!$B$2=2,"Environmental, Industrial Safety and Occupational Health Policy","Политика в области охраны окружающей среды, промышленной безопасности и охраны труда")</f>
        <v>Политика в области охраны окружающей среды, промышленной безопасности и охраны труда</v>
      </c>
      <c r="D14" s="489" t="s">
        <v>76</v>
      </c>
      <c r="E14" s="489" t="s">
        <v>77</v>
      </c>
    </row>
    <row r="15" spans="2:5" ht="19.5" customHeight="1">
      <c r="B15" s="48" t="str">
        <f>IF(Contents!$B$2=2,"Integrated Occupational Health and Safety Management System","Интегрированная система управления охраной труда и промышленной безопасностью")</f>
        <v>Интегрированная система управления охраной труда и промышленной безопасностью</v>
      </c>
      <c r="D15" s="489" t="s">
        <v>76</v>
      </c>
      <c r="E15" s="489" t="s">
        <v>77</v>
      </c>
    </row>
    <row r="16" spans="2:5" ht="19.5" customHeight="1">
      <c r="B16" s="48" t="str">
        <f>IF(Contents!$B$2=2,"NOVATEK's Environmental and Climate Change Targets","Цели «НОВАТЭКа» в области охраны окружающей среды и изменения климата")</f>
        <v>Цели «НОВАТЭКа» в области охраны окружающей среды и изменения климата</v>
      </c>
      <c r="D16" s="489" t="s">
        <v>76</v>
      </c>
      <c r="E16" s="489" t="s">
        <v>77</v>
      </c>
    </row>
    <row r="17" spans="2:5" s="667" customFormat="1" ht="19.5" customHeight="1">
      <c r="B17" s="669"/>
      <c r="D17" s="489"/>
      <c r="E17" s="489"/>
    </row>
    <row r="18" spans="2:5" s="667" customFormat="1" ht="19.5" customHeight="1">
      <c r="B18" s="669" t="str">
        <f>IF(Contents!$B$2=2,"Biodiversity Implementation Strategy (Arctic LNG 2)","Стратегия реализации биоразнообразия (Арктик СПГ 2)")</f>
        <v>Стратегия реализации биоразнообразия (Арктик СПГ 2)</v>
      </c>
      <c r="D18" s="489"/>
      <c r="E18" s="489" t="s">
        <v>77</v>
      </c>
    </row>
    <row r="19" spans="2:5" s="667" customFormat="1" ht="19.5" customHeight="1">
      <c r="B19" s="669" t="str">
        <f>IF(Contents!$B$2=2,"GHG and EE Philosophy (Arctic LNG 2)","Концепция  управления выбросами парниковых газов и энергоэффективностью (Арктик СПГ 2)")</f>
        <v>Концепция  управления выбросами парниковых газов и энергоэффективностью (Арктик СПГ 2)</v>
      </c>
      <c r="D19" s="489"/>
      <c r="E19" s="489" t="s">
        <v>77</v>
      </c>
    </row>
    <row r="20" spans="2:5" ht="19.5" customHeight="1">
      <c r="B20" s="669" t="str">
        <f>IF(Contents!$B$2=2,"GHG and EE Management Plan (Arctic LNG 2)","План управления выбросами парниковых газов и энергоэффективностью (Арктик СПГ 2)")</f>
        <v>План управления выбросами парниковых газов и энергоэффективностью (Арктик СПГ 2)</v>
      </c>
      <c r="E20" s="489" t="s">
        <v>77</v>
      </c>
    </row>
    <row r="21" spans="2:5" s="667" customFormat="1" ht="19.5" customHeight="1">
      <c r="B21" s="669" t="str">
        <f>IF(Contents!$B$2=2,"Environmental, Social and Health Impact Assessment (Arctic LNG 2)","Оценка воздействия на окружающую среду, социальную сферу и здоровье (Арктик СПГ 2)")</f>
        <v>Оценка воздействия на окружающую среду, социальную сферу и здоровье (Арктик СПГ 2)</v>
      </c>
      <c r="D21" s="489"/>
      <c r="E21" s="489" t="s">
        <v>77</v>
      </c>
    </row>
    <row r="22" spans="2:5" s="667" customFormat="1" ht="19.5" customHeight="1">
      <c r="B22" s="669"/>
      <c r="D22" s="489"/>
      <c r="E22" s="489"/>
    </row>
    <row r="23" spans="2:5" ht="18">
      <c r="B23" s="669" t="str">
        <f>IF(Contents!$B$2=2,"Environmental and Social Impact Assessment (Yamal LNG)","Оценка воздействия на окружающую среду и социальную сферу (Ямал СПГ)")</f>
        <v>Оценка воздействия на окружающую среду и социальную сферу (Ямал СПГ)</v>
      </c>
      <c r="D23" s="688" t="s">
        <v>76</v>
      </c>
      <c r="E23" s="489" t="s">
        <v>77</v>
      </c>
    </row>
    <row r="24" spans="2:5" ht="18">
      <c r="B24" s="669" t="str">
        <f>IF(Contents!$B$2=2,"Environmental and social scoping report  (Yamal LNG)","Отчет об экологическом и социальном анализе (Ямал СПГ)")</f>
        <v>Отчет об экологическом и социальном анализе (Ямал СПГ)</v>
      </c>
      <c r="D24" s="688" t="s">
        <v>76</v>
      </c>
      <c r="E24" s="489" t="s">
        <v>77</v>
      </c>
    </row>
    <row r="25" spans="2:5" ht="18">
      <c r="B25" s="669" t="str">
        <f>IF(Contents!$B$2=2,"Project Environmental And Social Standards  (Yamal LNG)","Экологические и социальные стандарты проекта (Ямал СПГ)")</f>
        <v>Экологические и социальные стандарты проекта (Ямал СПГ)</v>
      </c>
      <c r="D25" s="489" t="s">
        <v>76</v>
      </c>
      <c r="E25" s="489" t="s">
        <v>77</v>
      </c>
    </row>
    <row r="26" spans="2:5" s="667" customFormat="1" ht="19.5" customHeight="1">
      <c r="B26" s="687"/>
      <c r="D26" s="483"/>
      <c r="E26" s="483"/>
    </row>
    <row r="27" spans="2:5" s="683" customFormat="1" ht="34.5" customHeight="1">
      <c r="B27" s="684" t="str">
        <f>IF(Contents!$B$2=2,"Social","Социальные показатели")</f>
        <v>Социальные показатели</v>
      </c>
      <c r="C27" s="682"/>
      <c r="D27" s="682"/>
      <c r="E27" s="682"/>
    </row>
    <row r="28" spans="2:5" ht="19.5" customHeight="1">
      <c r="B28" s="48" t="str">
        <f>IF(Contents!$B$2=2,"Code of Business Ethics","Кодекс деловой этики")</f>
        <v>Кодекс деловой этики</v>
      </c>
      <c r="D28" s="489" t="s">
        <v>76</v>
      </c>
      <c r="E28" s="489" t="s">
        <v>77</v>
      </c>
    </row>
    <row r="29" spans="2:5" ht="19.5" customHeight="1">
      <c r="B29" s="48" t="str">
        <f>IF(Contents!$B$2=2,"Anti-Corruption Policy","Антикоррупционная политика")</f>
        <v>Антикоррупционная политика</v>
      </c>
      <c r="D29" s="489" t="s">
        <v>76</v>
      </c>
      <c r="E29" s="489" t="s">
        <v>77</v>
      </c>
    </row>
    <row r="30" spans="2:5" ht="19.5" customHeight="1">
      <c r="B30" s="48" t="str">
        <f>IF(Contents!$B$2=2,"Supplier Code of Conduct","Кодекс поведения поставщика")</f>
        <v>Кодекс поведения поставщика</v>
      </c>
      <c r="D30" s="489" t="s">
        <v>76</v>
      </c>
      <c r="E30" s="489" t="s">
        <v>77</v>
      </c>
    </row>
    <row r="31" spans="2:5" ht="19.5" customHeight="1">
      <c r="B31" s="48" t="str">
        <f>IF(Contents!$B$2=2,"Purchasing Policy","Политика в области закупок")</f>
        <v>Политика в области закупок</v>
      </c>
      <c r="D31" s="489" t="s">
        <v>76</v>
      </c>
      <c r="E31" s="489" t="s">
        <v>77</v>
      </c>
    </row>
    <row r="32" spans="2:5" ht="19.5" customHeight="1">
      <c r="B32" s="48" t="str">
        <f>IF(Contents!$B$2=2,"Human Rights Policy","Политика по правам человека")</f>
        <v>Политика по правам человека</v>
      </c>
      <c r="D32" s="489" t="s">
        <v>76</v>
      </c>
      <c r="E32" s="489" t="s">
        <v>77</v>
      </c>
    </row>
    <row r="33" spans="2:5" ht="19.5" customHeight="1">
      <c r="B33" s="669" t="str">
        <f>IF(Contents!$B$2=2,"Regulations on the procedure of access to insider information, protecting its confidentiality, disclosure and control over its unlawful use","Положение о порядке доступа к инсайдерской информации, охраны ее конфиденциальности, раскрытия и контроля за неправомерным использованием инсайдерской информации")</f>
        <v>Положение о порядке доступа к инсайдерской информации, охраны ее конфиденциальности, раскрытия и контроля за неправомерным использованием инсайдерской информации</v>
      </c>
      <c r="D33" s="489" t="s">
        <v>76</v>
      </c>
      <c r="E33" s="489" t="s">
        <v>77</v>
      </c>
    </row>
    <row r="34" spans="2:5" s="667" customFormat="1" ht="19.5" customHeight="1">
      <c r="B34" s="669"/>
      <c r="D34" s="489"/>
      <c r="E34" s="489"/>
    </row>
    <row r="35" spans="2:5" s="667" customFormat="1" ht="19.5" customHeight="1">
      <c r="B35" s="669" t="str">
        <f>IF(Contents!$B$2=2,"Stakeholder Engagement Plan (Arctic LNG 2)","План взаимодействия с заинтересованными сторонами (Арктик СПГ 2)")</f>
        <v>План взаимодействия с заинтересованными сторонами (Арктик СПГ 2)</v>
      </c>
      <c r="D35" s="489"/>
      <c r="E35" s="489" t="s">
        <v>77</v>
      </c>
    </row>
    <row r="36" spans="2:5" s="667" customFormat="1" ht="19.5" customHeight="1">
      <c r="B36" s="669" t="str">
        <f>IF(Contents!$B$2=2,"Area of Influence (Arctic LNG 2)","Область воздействия (Арктик СПГ 2)")</f>
        <v>Область воздействия (Арктик СПГ 2)</v>
      </c>
      <c r="D36" s="489"/>
      <c r="E36" s="489" t="s">
        <v>77</v>
      </c>
    </row>
    <row r="37" s="667" customFormat="1" ht="19.5" customHeight="1"/>
    <row r="38" spans="2:5" s="667" customFormat="1" ht="19.5" customHeight="1">
      <c r="B38" s="669" t="str">
        <f>IF(Contents!$B$2=2,"Stakeholder Engagement Plan  (Yamal LNG)","План взаимодействия с заинтересованными сторонами (Ямал СПГ)")</f>
        <v>План взаимодействия с заинтересованными сторонами (Ямал СПГ)</v>
      </c>
      <c r="D38" s="489" t="s">
        <v>76</v>
      </c>
      <c r="E38" s="489" t="s">
        <v>77</v>
      </c>
    </row>
    <row r="39" ht="12.75" customHeight="1"/>
    <row r="40" spans="2:5" ht="34.5" customHeight="1">
      <c r="B40" s="685" t="str">
        <f>IF(Contents!$B$2=2,"Corporate Governance","Корпоративное управление")</f>
        <v>Корпоративное управление</v>
      </c>
      <c r="C40" s="40"/>
      <c r="D40" s="40"/>
      <c r="E40" s="40"/>
    </row>
    <row r="41" spans="2:5" ht="19.5" customHeight="1">
      <c r="B41" s="48" t="str">
        <f>IF(Contents!$B$2=2,"Articles of Association","Устав")</f>
        <v>Устав</v>
      </c>
      <c r="D41" s="489" t="s">
        <v>76</v>
      </c>
      <c r="E41" s="489" t="s">
        <v>77</v>
      </c>
    </row>
    <row r="42" spans="2:5" ht="19.5" customHeight="1">
      <c r="B42" s="48" t="str">
        <f>IF(Contents!$B$2=2,"Regulations on the General Meetings of Shareholders","Положение об общем собрании акционеров")</f>
        <v>Положение об общем собрании акционеров</v>
      </c>
      <c r="D42" s="489" t="s">
        <v>76</v>
      </c>
      <c r="E42" s="489" t="s">
        <v>77</v>
      </c>
    </row>
    <row r="43" spans="2:5" ht="19.5" customHeight="1">
      <c r="B43" s="48" t="str">
        <f>IF(Contents!$B$2=2,"Regulations on the Board of Directors","Положение о Совете директоров")</f>
        <v>Положение о Совете директоров</v>
      </c>
      <c r="D43" s="489" t="s">
        <v>76</v>
      </c>
      <c r="E43" s="489" t="s">
        <v>77</v>
      </c>
    </row>
    <row r="44" spans="2:5" ht="19.5" customHeight="1">
      <c r="B44" s="48" t="str">
        <f>IF(Contents!$B$2=2,"Regulations on the Management Board","Положение о Правлении")</f>
        <v>Положение о Правлении</v>
      </c>
      <c r="D44" s="489" t="s">
        <v>76</v>
      </c>
      <c r="E44" s="489" t="s">
        <v>77</v>
      </c>
    </row>
    <row r="45" spans="2:5" ht="19.5" customHeight="1">
      <c r="B45" s="48" t="str">
        <f>IF(Contents!$B$2=2,"Regulations on the Audit Committee","Положение о Комитете по аудиту")</f>
        <v>Положение о Комитете по аудиту</v>
      </c>
      <c r="D45" s="489" t="s">
        <v>76</v>
      </c>
      <c r="E45" s="489" t="s">
        <v>77</v>
      </c>
    </row>
    <row r="46" spans="2:5" ht="19.5" customHeight="1">
      <c r="B46" s="48" t="str">
        <f>IF(Contents!$B$2=2,"Regulations on the Remuneration and Nomination Committee","Положение о Комитете по вознаграждениям и номинациям")</f>
        <v>Положение о Комитете по вознаграждениям и номинациям</v>
      </c>
      <c r="D46" s="489" t="s">
        <v>76</v>
      </c>
      <c r="E46" s="489" t="s">
        <v>77</v>
      </c>
    </row>
    <row r="47" spans="2:5" ht="19.5" customHeight="1">
      <c r="B47" s="48" t="str">
        <f>IF(Contents!$B$2=2,"Regulation on the Strategy Committee","Положение о Комитете по стратегии")</f>
        <v>Положение о Комитете по стратегии</v>
      </c>
      <c r="D47" s="489" t="s">
        <v>76</v>
      </c>
      <c r="E47" s="489" t="s">
        <v>77</v>
      </c>
    </row>
    <row r="48" spans="2:5" ht="19.5" customHeight="1">
      <c r="B48" s="48" t="str">
        <f>IF(Contents!$B$2=2,"Regulations for Revision Commission","Положение о ревизионной комиссии")</f>
        <v>Положение о ревизионной комиссии</v>
      </c>
      <c r="D48" s="489" t="s">
        <v>76</v>
      </c>
      <c r="E48" s="489" t="s">
        <v>77</v>
      </c>
    </row>
    <row r="49" spans="2:5" ht="19.5" customHeight="1">
      <c r="B49" s="48" t="str">
        <f>IF(Contents!$B$2=2,"Regulations on Dividend Policy","Положение о дивидендной политике")</f>
        <v>Положение о дивидендной политике</v>
      </c>
      <c r="D49" s="489" t="s">
        <v>76</v>
      </c>
      <c r="E49" s="489" t="s">
        <v>77</v>
      </c>
    </row>
    <row r="50" spans="2:5" ht="19.5" customHeight="1">
      <c r="B50" s="48" t="str">
        <f>IF(Contents!$B$2=2,"Regulations on Information Policy","Положение об информационной политике")</f>
        <v>Положение об информационной политике</v>
      </c>
      <c r="D50" s="489" t="s">
        <v>76</v>
      </c>
      <c r="E50" s="489" t="s">
        <v>77</v>
      </c>
    </row>
    <row r="51" spans="2:5" ht="19.5" customHeight="1">
      <c r="B51" s="48" t="str">
        <f>IF(Contents!$B$2=2,"Corporate Governance Code","Кодекс корпоративного поведения")</f>
        <v>Кодекс корпоративного поведения</v>
      </c>
      <c r="D51" s="489" t="s">
        <v>76</v>
      </c>
      <c r="E51" s="489" t="s">
        <v>77</v>
      </c>
    </row>
    <row r="52" spans="2:5" ht="19.5" customHeight="1">
      <c r="B52" s="48" t="str">
        <f>IF(Contents!$B$2=2,"Regulations on the Corporate Secretary","Положение о корпоративном секретаре")</f>
        <v>Положение о корпоративном секретаре</v>
      </c>
      <c r="D52" s="489" t="s">
        <v>76</v>
      </c>
      <c r="E52" s="489" t="s">
        <v>77</v>
      </c>
    </row>
    <row r="53" spans="2:5" ht="19.5" customHeight="1">
      <c r="B53" s="48" t="str">
        <f>IF(Contents!$B$2=2,"Internal Audit Policy","Политика в области внутреннего аудита")</f>
        <v>Политика в области внутреннего аудита</v>
      </c>
      <c r="D53" s="489" t="s">
        <v>76</v>
      </c>
      <c r="E53" s="489" t="s">
        <v>77</v>
      </c>
    </row>
    <row r="54" spans="2:5" ht="19.5" customHeight="1">
      <c r="B54" s="48" t="str">
        <f>IF(Contents!$B$2=2,"Regulations on Risk Management and Internal Control System","Положение о системе управления рисками и внутреннего контроля")</f>
        <v>Положение о системе управления рисками и внутреннего контроля</v>
      </c>
      <c r="D54" s="489" t="s">
        <v>76</v>
      </c>
      <c r="E54" s="489" t="s">
        <v>77</v>
      </c>
    </row>
    <row r="55" spans="2:5" ht="19.5" customHeight="1">
      <c r="B55" s="48" t="str">
        <f>IF(Contents!$B$2=2,"Regulations on Remuneration and Compensations Payable to Members of the Board of Directors","Положение о вознаграждениях и компенсациях, выплачиваемых членам Совета директоров")</f>
        <v>Положение о вознаграждениях и компенсациях, выплачиваемых членам Совета директоров</v>
      </c>
      <c r="D55" s="489" t="s">
        <v>76</v>
      </c>
      <c r="E55" s="489" t="s">
        <v>77</v>
      </c>
    </row>
  </sheetData>
  <sheetProtection/>
  <hyperlinks>
    <hyperlink ref="B1" location="Contents!A1" display="Contents!A1"/>
    <hyperlink ref="D8" r:id="rId1" display="ссылка"/>
    <hyperlink ref="E8" r:id="rId2" display="link"/>
    <hyperlink ref="E7" r:id="rId3" display="link"/>
    <hyperlink ref="D7" r:id="rId4" display="ссылка"/>
    <hyperlink ref="D10" r:id="rId5" display="ссылка"/>
    <hyperlink ref="E10" r:id="rId6" display="link"/>
    <hyperlink ref="E11" r:id="rId7" display="link"/>
    <hyperlink ref="D11" r:id="rId8" display="ссылка"/>
    <hyperlink ref="D14" r:id="rId9" display="ссылка"/>
    <hyperlink ref="E14" r:id="rId10" display="link"/>
    <hyperlink ref="D28" r:id="rId11" display="ссылка"/>
    <hyperlink ref="E28" r:id="rId12" display="link"/>
    <hyperlink ref="E29" r:id="rId13" display="link"/>
    <hyperlink ref="D29" r:id="rId14" display="ссылка"/>
    <hyperlink ref="D30" r:id="rId15" display="ссылка"/>
    <hyperlink ref="E30" r:id="rId16" display="link"/>
    <hyperlink ref="E32" r:id="rId17" display="link"/>
    <hyperlink ref="D32" r:id="rId18" display="ссылка"/>
    <hyperlink ref="D41" r:id="rId19" display="ссылка"/>
    <hyperlink ref="E41" r:id="rId20" display="link"/>
    <hyperlink ref="D42" r:id="rId21" display="ссылка"/>
    <hyperlink ref="E42" r:id="rId22" display="link"/>
    <hyperlink ref="E43" r:id="rId23" display="link"/>
    <hyperlink ref="E44" r:id="rId24" display="link"/>
    <hyperlink ref="D44" r:id="rId25" display="ссылка"/>
    <hyperlink ref="D43" r:id="rId26" display="ссылка"/>
    <hyperlink ref="D46" r:id="rId27" display="ссылка"/>
    <hyperlink ref="D45" r:id="rId28" display="ссылка"/>
    <hyperlink ref="D50" r:id="rId29" display="ссылка"/>
    <hyperlink ref="D49" r:id="rId30" display="ссылка"/>
    <hyperlink ref="D47" r:id="rId31" display="ссылка"/>
    <hyperlink ref="D51" r:id="rId32" display="ссылка"/>
    <hyperlink ref="D52" r:id="rId33" display="ссылка"/>
    <hyperlink ref="D53" r:id="rId34" display="ссылка"/>
    <hyperlink ref="D54" r:id="rId35" display="ссылка"/>
    <hyperlink ref="D55" r:id="rId36" display="ссылка"/>
    <hyperlink ref="E45" r:id="rId37" display="link"/>
    <hyperlink ref="E46" r:id="rId38" display="link"/>
    <hyperlink ref="E47" r:id="rId39" display="link"/>
    <hyperlink ref="E49" r:id="rId40" display="link"/>
    <hyperlink ref="E50" r:id="rId41" display="link"/>
    <hyperlink ref="E52" r:id="rId42" display="link"/>
    <hyperlink ref="E51" r:id="rId43" display="link"/>
    <hyperlink ref="E53" r:id="rId44" display="link"/>
    <hyperlink ref="E54" r:id="rId45" display="link"/>
    <hyperlink ref="E55" r:id="rId46" display="link"/>
    <hyperlink ref="D16" r:id="rId47" display="ссылка"/>
    <hyperlink ref="E16" r:id="rId48" display="link"/>
    <hyperlink ref="D15" r:id="rId49" display="ссылка"/>
    <hyperlink ref="E15" r:id="rId50" display="link"/>
    <hyperlink ref="D9" r:id="rId51" display="ссылка"/>
    <hyperlink ref="E9" r:id="rId52" display="link"/>
    <hyperlink ref="D31" r:id="rId53" display="ссылка"/>
    <hyperlink ref="E31" r:id="rId54" display="link"/>
    <hyperlink ref="D48" r:id="rId55" display="ссылка"/>
    <hyperlink ref="E48" r:id="rId56" display="llink"/>
    <hyperlink ref="D33" r:id="rId57" display="ссылка"/>
    <hyperlink ref="E33" r:id="rId58" display="link"/>
    <hyperlink ref="E18" r:id="rId59" display="link"/>
    <hyperlink ref="E19" r:id="rId60" display="link"/>
    <hyperlink ref="E20" r:id="rId61" display="link"/>
    <hyperlink ref="E23" r:id="rId62" display="link"/>
    <hyperlink ref="E24" r:id="rId63" display="link"/>
    <hyperlink ref="E25" r:id="rId64" display="link"/>
    <hyperlink ref="D25" r:id="rId65" display="ссылка"/>
    <hyperlink ref="D23" r:id="rId66" display="ссылка"/>
    <hyperlink ref="E35" r:id="rId67" display="link"/>
    <hyperlink ref="E36" r:id="rId68" display="link"/>
    <hyperlink ref="E21" r:id="rId69" display="link"/>
    <hyperlink ref="D38" r:id="rId70" display="ссылка"/>
    <hyperlink ref="E38" r:id="rId71" display="link"/>
    <hyperlink ref="D24" r:id="rId72" display="ссылка"/>
  </hyperlinks>
  <printOptions/>
  <pageMargins left="0.7" right="0.7" top="0.75" bottom="0.75" header="0.3" footer="0.3"/>
  <pageSetup horizontalDpi="600" verticalDpi="600" orientation="portrait" paperSize="9" r:id="rId74"/>
  <ignoredErrors>
    <ignoredError sqref="B14:B16 B6" unlockedFormula="1"/>
  </ignoredErrors>
  <drawing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Леонова Глафира Михайловна</dc:creator>
  <cp:keywords/>
  <dc:description/>
  <cp:lastModifiedBy>Попилюк Кристина Андреевна</cp:lastModifiedBy>
  <cp:lastPrinted>2020-08-25T10:54:56Z</cp:lastPrinted>
  <dcterms:created xsi:type="dcterms:W3CDTF">2020-02-27T14:09:02Z</dcterms:created>
  <dcterms:modified xsi:type="dcterms:W3CDTF">2022-07-01T13:33:28Z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